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ETRIBUCIONS 2018\"/>
    </mc:Choice>
  </mc:AlternateContent>
  <bookViews>
    <workbookView xWindow="0" yWindow="120" windowWidth="19440" windowHeight="12315" tabRatio="911"/>
  </bookViews>
  <sheets>
    <sheet name="PDI" sheetId="15" r:id="rId1"/>
    <sheet name="CÀRRECS ACADÈMICS" sheetId="16" r:id="rId2"/>
    <sheet name="MÈRITS I TRAMS" sheetId="19" r:id="rId3"/>
    <sheet name="INVESTIGADORS" sheetId="18" r:id="rId4"/>
    <sheet name=" PAS" sheetId="1" r:id="rId5"/>
    <sheet name="COTITZACIÓ SS PAS I PDI" sheetId="14" r:id="rId6"/>
  </sheets>
  <definedNames>
    <definedName name="_xlnm.Print_Area" localSheetId="4">' PAS'!$A$1:$K$233</definedName>
    <definedName name="_xlnm.Print_Area" localSheetId="1">'CÀRRECS ACADÈMICS'!$A$1:$G$41</definedName>
    <definedName name="_xlnm.Print_Area" localSheetId="5">'COTITZACIÓ SS PAS I PDI'!$A$2:$N$15</definedName>
    <definedName name="_xlnm.Print_Area" localSheetId="3">INVESTIGADORS!$A$2:$N$25</definedName>
    <definedName name="_xlnm.Print_Area" localSheetId="2">'MÈRITS I TRAMS'!$A$3:$K$27</definedName>
    <definedName name="_xlnm.Print_Area" localSheetId="0">PDI!$A$1:$W$40</definedName>
  </definedNames>
  <calcPr calcId="152511"/>
</workbook>
</file>

<file path=xl/calcChain.xml><?xml version="1.0" encoding="utf-8"?>
<calcChain xmlns="http://schemas.openxmlformats.org/spreadsheetml/2006/main">
  <c r="N37" i="18" l="1"/>
  <c r="N36" i="18"/>
  <c r="L9" i="18"/>
  <c r="L10" i="18"/>
  <c r="L11" i="18"/>
  <c r="L8" i="18"/>
  <c r="G9" i="18"/>
  <c r="G10" i="18"/>
  <c r="G11" i="18"/>
  <c r="G8" i="18"/>
  <c r="I50" i="15" l="1"/>
  <c r="L12" i="15"/>
  <c r="J63" i="18" l="1"/>
  <c r="M63" i="18" s="1"/>
  <c r="J62" i="18"/>
  <c r="M62" i="18" s="1"/>
  <c r="F62" i="18"/>
  <c r="I62" i="18" s="1"/>
  <c r="N62" i="18" s="1"/>
  <c r="F63" i="18"/>
  <c r="I63" i="18" s="1"/>
  <c r="N63" i="18" s="1"/>
  <c r="J50" i="18" l="1"/>
  <c r="M50" i="18" s="1"/>
  <c r="J49" i="18"/>
  <c r="M49" i="18" s="1"/>
  <c r="H50" i="18"/>
  <c r="H49" i="18"/>
  <c r="F50" i="18"/>
  <c r="I50" i="18" s="1"/>
  <c r="F49" i="18"/>
  <c r="N49" i="18" s="1"/>
  <c r="J77" i="18"/>
  <c r="M77" i="18" s="1"/>
  <c r="F77" i="18"/>
  <c r="I77" i="18" s="1"/>
  <c r="J76" i="18"/>
  <c r="N76" i="18" s="1"/>
  <c r="F76" i="18"/>
  <c r="I76" i="18" s="1"/>
  <c r="J78" i="18"/>
  <c r="N78" i="18" s="1"/>
  <c r="F78" i="18"/>
  <c r="I78" i="18" s="1"/>
  <c r="J79" i="18"/>
  <c r="M79" i="18" s="1"/>
  <c r="F79" i="18"/>
  <c r="I79" i="18" s="1"/>
  <c r="M76" i="18" l="1"/>
  <c r="N79" i="18"/>
  <c r="N50" i="18"/>
  <c r="N77" i="18"/>
  <c r="I49" i="18"/>
  <c r="M78" i="18"/>
  <c r="H27" i="18"/>
  <c r="H26" i="18"/>
  <c r="D27" i="18"/>
  <c r="D26" i="18"/>
  <c r="D25" i="18"/>
  <c r="G10" i="19" l="1"/>
  <c r="H10" i="19"/>
  <c r="G11" i="19"/>
  <c r="H11" i="19"/>
  <c r="I11" i="19"/>
  <c r="H12" i="19"/>
  <c r="H8" i="18" l="1"/>
  <c r="K8" i="18" s="1"/>
  <c r="H9" i="18"/>
  <c r="K9" i="18" s="1"/>
  <c r="H10" i="18"/>
  <c r="K10" i="18" s="1"/>
  <c r="H11" i="18"/>
  <c r="K11" i="18" s="1"/>
  <c r="G20" i="18"/>
  <c r="K20" i="18"/>
  <c r="L20" i="18"/>
  <c r="G24" i="18"/>
  <c r="K24" i="18"/>
  <c r="L24" i="18"/>
  <c r="G25" i="18"/>
  <c r="L25" i="18"/>
  <c r="G26" i="18"/>
  <c r="L26" i="18"/>
  <c r="G27" i="18"/>
  <c r="L27" i="18"/>
  <c r="F36" i="18"/>
  <c r="I36" i="18" s="1"/>
  <c r="J36" i="18"/>
  <c r="M36" i="18" s="1"/>
  <c r="F37" i="18"/>
  <c r="I37" i="18" s="1"/>
  <c r="J37" i="18"/>
  <c r="M37" i="18" s="1"/>
  <c r="A183" i="16"/>
  <c r="F12" i="15" l="1"/>
  <c r="G12" i="15"/>
  <c r="H12" i="15"/>
  <c r="I12" i="15"/>
  <c r="P12" i="15"/>
  <c r="T12" i="15" s="1"/>
  <c r="E13" i="15"/>
  <c r="F13" i="15"/>
  <c r="K13" i="15"/>
  <c r="R13" i="15"/>
  <c r="T13" i="15"/>
  <c r="E14" i="15"/>
  <c r="J14" i="15" s="1"/>
  <c r="F14" i="15"/>
  <c r="H14" i="15"/>
  <c r="K14" i="15"/>
  <c r="R14" i="15"/>
  <c r="T14" i="15"/>
  <c r="E15" i="15"/>
  <c r="J15" i="15" s="1"/>
  <c r="F15" i="15"/>
  <c r="K15" i="15"/>
  <c r="R15" i="15"/>
  <c r="T15" i="15"/>
  <c r="F16" i="15"/>
  <c r="G16" i="15"/>
  <c r="I16" i="15"/>
  <c r="R16" i="15"/>
  <c r="T16" i="15"/>
  <c r="F17" i="15"/>
  <c r="G17" i="15"/>
  <c r="I17" i="15"/>
  <c r="P17" i="15"/>
  <c r="T17" i="15" s="1"/>
  <c r="E18" i="15"/>
  <c r="F18" i="15"/>
  <c r="J18" i="15" s="1"/>
  <c r="K18" i="15"/>
  <c r="R18" i="15"/>
  <c r="T18" i="15"/>
  <c r="E19" i="15"/>
  <c r="F19" i="15"/>
  <c r="K19" i="15"/>
  <c r="R19" i="15"/>
  <c r="T19" i="15"/>
  <c r="I20" i="15"/>
  <c r="J20" i="15" s="1"/>
  <c r="L20" i="15"/>
  <c r="R20" i="15"/>
  <c r="T20" i="15"/>
  <c r="E50" i="15"/>
  <c r="F50" i="15"/>
  <c r="L50" i="15"/>
  <c r="O50" i="15" s="1"/>
  <c r="P50" i="15" s="1"/>
  <c r="E51" i="15"/>
  <c r="I51" i="15" s="1"/>
  <c r="F51" i="15"/>
  <c r="L51" i="15"/>
  <c r="O51" i="15" s="1"/>
  <c r="P51" i="15" s="1"/>
  <c r="E52" i="15"/>
  <c r="F52" i="15"/>
  <c r="L52" i="15"/>
  <c r="O52" i="15" s="1"/>
  <c r="P52" i="15" s="1"/>
  <c r="E53" i="15"/>
  <c r="F53" i="15"/>
  <c r="L53" i="15"/>
  <c r="O53" i="15" s="1"/>
  <c r="P53" i="15" s="1"/>
  <c r="E54" i="15"/>
  <c r="F54" i="15"/>
  <c r="L54" i="15"/>
  <c r="O54" i="15" s="1"/>
  <c r="P54" i="15" s="1"/>
  <c r="E55" i="15"/>
  <c r="I55" i="15" s="1"/>
  <c r="O55" i="15"/>
  <c r="P55" i="15" s="1"/>
  <c r="E56" i="15"/>
  <c r="F56" i="15"/>
  <c r="L56" i="15"/>
  <c r="O56" i="15" s="1"/>
  <c r="P56" i="15" s="1"/>
  <c r="G67" i="15"/>
  <c r="L67" i="15"/>
  <c r="G68" i="15"/>
  <c r="L68" i="15"/>
  <c r="N68" i="15" s="1"/>
  <c r="G69" i="15"/>
  <c r="L69" i="15"/>
  <c r="G70" i="15"/>
  <c r="L70" i="15"/>
  <c r="G71" i="15"/>
  <c r="L71" i="15"/>
  <c r="G72" i="15"/>
  <c r="L72" i="15"/>
  <c r="G73" i="15"/>
  <c r="L73" i="15"/>
  <c r="G74" i="15"/>
  <c r="L74" i="15"/>
  <c r="G75" i="15"/>
  <c r="N75" i="15" s="1"/>
  <c r="L75" i="15"/>
  <c r="G76" i="15"/>
  <c r="L76" i="15"/>
  <c r="G77" i="15"/>
  <c r="L77" i="15"/>
  <c r="G78" i="15"/>
  <c r="L78" i="15"/>
  <c r="G79" i="15"/>
  <c r="N79" i="15" s="1"/>
  <c r="L79" i="15"/>
  <c r="G80" i="15"/>
  <c r="L80" i="15"/>
  <c r="G81" i="15"/>
  <c r="L81" i="15"/>
  <c r="G82" i="15"/>
  <c r="N82" i="15" s="1"/>
  <c r="L82" i="15"/>
  <c r="G83" i="15"/>
  <c r="N83" i="15" s="1"/>
  <c r="L83" i="15"/>
  <c r="G84" i="15"/>
  <c r="L84" i="15"/>
  <c r="N84" i="15" s="1"/>
  <c r="G85" i="15"/>
  <c r="L85" i="15"/>
  <c r="G86" i="15"/>
  <c r="L86" i="15"/>
  <c r="G87" i="15"/>
  <c r="N87" i="15" s="1"/>
  <c r="L87" i="15"/>
  <c r="G88" i="15"/>
  <c r="L88" i="15"/>
  <c r="G89" i="15"/>
  <c r="L89" i="15"/>
  <c r="G90" i="15"/>
  <c r="N90" i="15" s="1"/>
  <c r="L90" i="15"/>
  <c r="G91" i="15"/>
  <c r="N91" i="15" s="1"/>
  <c r="L91" i="15"/>
  <c r="G92" i="15"/>
  <c r="L92" i="15"/>
  <c r="N92" i="15" s="1"/>
  <c r="G93" i="15"/>
  <c r="L93" i="15"/>
  <c r="G94" i="15"/>
  <c r="L94" i="15"/>
  <c r="G95" i="15"/>
  <c r="L95" i="15"/>
  <c r="G105" i="15"/>
  <c r="L105" i="15"/>
  <c r="G106" i="15"/>
  <c r="L106" i="15"/>
  <c r="G107" i="15"/>
  <c r="L107" i="15"/>
  <c r="G108" i="15"/>
  <c r="L108" i="15"/>
  <c r="G109" i="15"/>
  <c r="L109" i="15"/>
  <c r="G110" i="15"/>
  <c r="L110" i="15"/>
  <c r="G111" i="15"/>
  <c r="L111" i="15"/>
  <c r="G112" i="15"/>
  <c r="L112" i="15"/>
  <c r="G113" i="15"/>
  <c r="L113" i="15"/>
  <c r="G114" i="15"/>
  <c r="L114" i="15"/>
  <c r="G115" i="15"/>
  <c r="L115" i="15"/>
  <c r="G116" i="15"/>
  <c r="L116" i="15"/>
  <c r="N116" i="15"/>
  <c r="C127" i="15"/>
  <c r="D127" i="15"/>
  <c r="F127" i="15" s="1"/>
  <c r="G127" i="15"/>
  <c r="H127" i="15"/>
  <c r="I127" i="15"/>
  <c r="K127" i="15" s="1"/>
  <c r="L127" i="15"/>
  <c r="N110" i="15" l="1"/>
  <c r="N85" i="15"/>
  <c r="N77" i="15"/>
  <c r="I56" i="15"/>
  <c r="J56" i="15" s="1"/>
  <c r="J16" i="15"/>
  <c r="N113" i="15"/>
  <c r="N105" i="15"/>
  <c r="N69" i="15"/>
  <c r="N88" i="15"/>
  <c r="N80" i="15"/>
  <c r="N76" i="15"/>
  <c r="J19" i="15"/>
  <c r="N112" i="15"/>
  <c r="N108" i="15"/>
  <c r="N95" i="15"/>
  <c r="N72" i="15"/>
  <c r="I52" i="15"/>
  <c r="N93" i="15"/>
  <c r="N74" i="15"/>
  <c r="N109" i="15"/>
  <c r="N115" i="15"/>
  <c r="N107" i="15"/>
  <c r="N71" i="15"/>
  <c r="N67" i="15"/>
  <c r="R17" i="15"/>
  <c r="L13" i="15"/>
  <c r="L14" i="15"/>
  <c r="U14" i="15" s="1"/>
  <c r="L19" i="15"/>
  <c r="M127" i="15"/>
  <c r="N114" i="15"/>
  <c r="N111" i="15"/>
  <c r="N106" i="15"/>
  <c r="N94" i="15"/>
  <c r="N89" i="15"/>
  <c r="N86" i="15"/>
  <c r="N81" i="15"/>
  <c r="N78" i="15"/>
  <c r="N73" i="15"/>
  <c r="N70" i="15"/>
  <c r="I54" i="15"/>
  <c r="J54" i="15" s="1"/>
  <c r="Q54" i="15" s="1"/>
  <c r="J50" i="15"/>
  <c r="Q50" i="15" s="1"/>
  <c r="L18" i="15"/>
  <c r="U18" i="15" s="1"/>
  <c r="J13" i="15"/>
  <c r="J12" i="15"/>
  <c r="I53" i="15"/>
  <c r="J53" i="15" s="1"/>
  <c r="Q53" i="15" s="1"/>
  <c r="U20" i="15"/>
  <c r="L17" i="15"/>
  <c r="J17" i="15"/>
  <c r="L16" i="15"/>
  <c r="U16" i="15" s="1"/>
  <c r="L15" i="15"/>
  <c r="U15" i="15" s="1"/>
  <c r="J52" i="15"/>
  <c r="Q52" i="15" s="1"/>
  <c r="J55" i="15"/>
  <c r="Q55" i="15" s="1"/>
  <c r="J51" i="15"/>
  <c r="Q51" i="15" s="1"/>
  <c r="R12" i="15"/>
  <c r="L132" i="1"/>
  <c r="F132" i="1"/>
  <c r="L131" i="1"/>
  <c r="F131" i="1"/>
  <c r="F137" i="1"/>
  <c r="L137" i="1"/>
  <c r="O79" i="1"/>
  <c r="I79" i="1"/>
  <c r="G79" i="1"/>
  <c r="U19" i="15" l="1"/>
  <c r="Q56" i="15"/>
  <c r="U17" i="15"/>
  <c r="N132" i="1"/>
  <c r="N137" i="1"/>
  <c r="U12" i="15"/>
  <c r="U13" i="15"/>
  <c r="N131" i="1"/>
  <c r="M79" i="1"/>
  <c r="P79" i="1" s="1"/>
  <c r="G242" i="1" l="1"/>
  <c r="G243" i="1"/>
  <c r="G244" i="1"/>
  <c r="G241" i="1"/>
  <c r="L208" i="1" l="1"/>
  <c r="L209" i="1"/>
  <c r="L210" i="1"/>
  <c r="L207" i="1"/>
  <c r="F208" i="1"/>
  <c r="F209" i="1"/>
  <c r="F210" i="1"/>
  <c r="F207" i="1"/>
  <c r="L189" i="1"/>
  <c r="L190" i="1"/>
  <c r="L191" i="1"/>
  <c r="L192" i="1"/>
  <c r="L193" i="1"/>
  <c r="L194" i="1"/>
  <c r="L195" i="1"/>
  <c r="L196" i="1"/>
  <c r="L197" i="1"/>
  <c r="L188" i="1"/>
  <c r="F189" i="1"/>
  <c r="F190" i="1"/>
  <c r="F191" i="1"/>
  <c r="F192" i="1"/>
  <c r="F193" i="1"/>
  <c r="F194" i="1"/>
  <c r="F195" i="1"/>
  <c r="F196" i="1"/>
  <c r="F197" i="1"/>
  <c r="F188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63" i="1"/>
  <c r="F164" i="1"/>
  <c r="F165" i="1"/>
  <c r="N165" i="1" s="1"/>
  <c r="F166" i="1"/>
  <c r="N166" i="1" s="1"/>
  <c r="F167" i="1"/>
  <c r="N167" i="1" s="1"/>
  <c r="F168" i="1"/>
  <c r="N168" i="1" s="1"/>
  <c r="F169" i="1"/>
  <c r="N169" i="1" s="1"/>
  <c r="F170" i="1"/>
  <c r="N170" i="1" s="1"/>
  <c r="F171" i="1"/>
  <c r="N171" i="1" s="1"/>
  <c r="F172" i="1"/>
  <c r="N172" i="1" s="1"/>
  <c r="F173" i="1"/>
  <c r="N173" i="1" s="1"/>
  <c r="F174" i="1"/>
  <c r="F175" i="1"/>
  <c r="N175" i="1" s="1"/>
  <c r="F176" i="1"/>
  <c r="N176" i="1" s="1"/>
  <c r="F177" i="1"/>
  <c r="N177" i="1" s="1"/>
  <c r="F178" i="1"/>
  <c r="N178" i="1" s="1"/>
  <c r="F163" i="1"/>
  <c r="N163" i="1" s="1"/>
  <c r="F68" i="1"/>
  <c r="F55" i="1"/>
  <c r="F20" i="1"/>
  <c r="F23" i="1"/>
  <c r="F26" i="1"/>
  <c r="F86" i="1"/>
  <c r="F85" i="1"/>
  <c r="F84" i="1"/>
  <c r="F83" i="1"/>
  <c r="F78" i="1"/>
  <c r="F77" i="1"/>
  <c r="F76" i="1"/>
  <c r="F75" i="1"/>
  <c r="F74" i="1"/>
  <c r="F73" i="1"/>
  <c r="F72" i="1"/>
  <c r="F71" i="1"/>
  <c r="F70" i="1"/>
  <c r="F69" i="1"/>
  <c r="F56" i="1"/>
  <c r="F54" i="1"/>
  <c r="F53" i="1"/>
  <c r="F52" i="1"/>
  <c r="F51" i="1"/>
  <c r="F50" i="1"/>
  <c r="F49" i="1"/>
  <c r="F48" i="1"/>
  <c r="N164" i="1" l="1"/>
  <c r="N193" i="1"/>
  <c r="N174" i="1"/>
  <c r="N194" i="1"/>
  <c r="N209" i="1"/>
  <c r="N208" i="1"/>
  <c r="N192" i="1"/>
  <c r="N191" i="1"/>
  <c r="N196" i="1"/>
  <c r="N188" i="1"/>
  <c r="N190" i="1"/>
  <c r="N195" i="1"/>
  <c r="N197" i="1"/>
  <c r="N189" i="1"/>
  <c r="N207" i="1"/>
  <c r="N210" i="1"/>
  <c r="F47" i="1"/>
  <c r="F46" i="1"/>
  <c r="F41" i="1"/>
  <c r="F44" i="1"/>
  <c r="F43" i="1"/>
  <c r="F42" i="1"/>
  <c r="F40" i="1"/>
  <c r="F39" i="1"/>
  <c r="F38" i="1"/>
  <c r="F37" i="1"/>
  <c r="F36" i="1"/>
  <c r="F35" i="1"/>
  <c r="F13" i="1"/>
  <c r="F29" i="1"/>
  <c r="F28" i="1"/>
  <c r="F27" i="1"/>
  <c r="F25" i="1"/>
  <c r="F24" i="1"/>
  <c r="F22" i="1"/>
  <c r="F21" i="1"/>
  <c r="F19" i="1"/>
  <c r="F18" i="1"/>
  <c r="L138" i="1" l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F138" i="1"/>
  <c r="F139" i="1"/>
  <c r="N139" i="1" s="1"/>
  <c r="F140" i="1"/>
  <c r="F141" i="1"/>
  <c r="F142" i="1"/>
  <c r="F143" i="1"/>
  <c r="F144" i="1"/>
  <c r="F145" i="1"/>
  <c r="N145" i="1" s="1"/>
  <c r="F146" i="1"/>
  <c r="F147" i="1"/>
  <c r="N147" i="1" s="1"/>
  <c r="F148" i="1"/>
  <c r="F149" i="1"/>
  <c r="F150" i="1"/>
  <c r="F151" i="1"/>
  <c r="F152" i="1"/>
  <c r="F153" i="1"/>
  <c r="N153" i="1" s="1"/>
  <c r="I86" i="1"/>
  <c r="G86" i="1"/>
  <c r="I85" i="1"/>
  <c r="G85" i="1"/>
  <c r="I84" i="1"/>
  <c r="G84" i="1"/>
  <c r="I83" i="1"/>
  <c r="G83" i="1"/>
  <c r="I78" i="1"/>
  <c r="G78" i="1"/>
  <c r="I77" i="1"/>
  <c r="G77" i="1"/>
  <c r="I76" i="1"/>
  <c r="G76" i="1"/>
  <c r="I75" i="1"/>
  <c r="G75" i="1"/>
  <c r="I74" i="1"/>
  <c r="G74" i="1"/>
  <c r="I73" i="1"/>
  <c r="G73" i="1"/>
  <c r="I72" i="1"/>
  <c r="G72" i="1"/>
  <c r="I71" i="1"/>
  <c r="G71" i="1"/>
  <c r="I70" i="1"/>
  <c r="G70" i="1"/>
  <c r="I69" i="1"/>
  <c r="G69" i="1"/>
  <c r="I68" i="1"/>
  <c r="G68" i="1"/>
  <c r="I56" i="1"/>
  <c r="G56" i="1"/>
  <c r="I55" i="1"/>
  <c r="G55" i="1"/>
  <c r="I54" i="1"/>
  <c r="G54" i="1"/>
  <c r="I53" i="1"/>
  <c r="G53" i="1"/>
  <c r="I52" i="1"/>
  <c r="G52" i="1"/>
  <c r="I51" i="1"/>
  <c r="G51" i="1"/>
  <c r="I50" i="1"/>
  <c r="G50" i="1"/>
  <c r="I49" i="1"/>
  <c r="G49" i="1"/>
  <c r="I48" i="1"/>
  <c r="G48" i="1"/>
  <c r="I47" i="1"/>
  <c r="G47" i="1"/>
  <c r="I46" i="1"/>
  <c r="G46" i="1"/>
  <c r="I45" i="1"/>
  <c r="G45" i="1"/>
  <c r="I44" i="1"/>
  <c r="G44" i="1"/>
  <c r="I43" i="1"/>
  <c r="G43" i="1"/>
  <c r="I42" i="1"/>
  <c r="G42" i="1"/>
  <c r="I41" i="1"/>
  <c r="G41" i="1"/>
  <c r="I40" i="1"/>
  <c r="G40" i="1"/>
  <c r="I39" i="1"/>
  <c r="G39" i="1"/>
  <c r="I38" i="1"/>
  <c r="G38" i="1"/>
  <c r="I37" i="1"/>
  <c r="G37" i="1"/>
  <c r="I36" i="1"/>
  <c r="G36" i="1"/>
  <c r="I35" i="1"/>
  <c r="G35" i="1"/>
  <c r="I13" i="1"/>
  <c r="G13" i="1"/>
  <c r="I22" i="1"/>
  <c r="G22" i="1"/>
  <c r="I21" i="1"/>
  <c r="G21" i="1"/>
  <c r="I20" i="1"/>
  <c r="G20" i="1"/>
  <c r="I19" i="1"/>
  <c r="G19" i="1"/>
  <c r="I18" i="1"/>
  <c r="G18" i="1"/>
  <c r="I23" i="1" l="1"/>
  <c r="G26" i="1"/>
  <c r="I26" i="1"/>
  <c r="G27" i="1"/>
  <c r="G25" i="1"/>
  <c r="I24" i="1"/>
  <c r="G24" i="1"/>
  <c r="N150" i="1"/>
  <c r="N142" i="1"/>
  <c r="N151" i="1"/>
  <c r="N143" i="1"/>
  <c r="N152" i="1"/>
  <c r="N144" i="1"/>
  <c r="N148" i="1"/>
  <c r="N140" i="1"/>
  <c r="N146" i="1"/>
  <c r="N138" i="1"/>
  <c r="N149" i="1"/>
  <c r="N141" i="1"/>
  <c r="G23" i="1" l="1"/>
  <c r="G28" i="1"/>
  <c r="I25" i="1"/>
  <c r="I27" i="1"/>
  <c r="I29" i="1"/>
  <c r="G29" i="1"/>
  <c r="F117" i="1"/>
  <c r="E116" i="1"/>
  <c r="D107" i="1"/>
  <c r="D100" i="1"/>
  <c r="D99" i="1"/>
  <c r="D98" i="1"/>
  <c r="D97" i="1"/>
  <c r="I28" i="1" l="1"/>
  <c r="F118" i="1" l="1"/>
  <c r="F116" i="1"/>
  <c r="F115" i="1"/>
  <c r="E118" i="1"/>
  <c r="E117" i="1"/>
  <c r="E115" i="1"/>
  <c r="D106" i="1"/>
  <c r="O13" i="1" l="1"/>
  <c r="M13" i="1" l="1"/>
  <c r="P13" i="1" s="1"/>
  <c r="O50" i="1" l="1"/>
  <c r="M50" i="1"/>
  <c r="P50" i="1" l="1"/>
  <c r="O68" i="1"/>
  <c r="M68" i="1"/>
  <c r="P68" i="1" l="1"/>
  <c r="O84" i="1"/>
  <c r="O85" i="1"/>
  <c r="O86" i="1"/>
  <c r="O83" i="1"/>
  <c r="O70" i="1"/>
  <c r="O71" i="1"/>
  <c r="O72" i="1"/>
  <c r="O73" i="1"/>
  <c r="O74" i="1"/>
  <c r="O75" i="1"/>
  <c r="O76" i="1"/>
  <c r="O77" i="1"/>
  <c r="O78" i="1"/>
  <c r="O69" i="1"/>
  <c r="O36" i="1" l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1" i="1"/>
  <c r="O52" i="1"/>
  <c r="O53" i="1"/>
  <c r="O54" i="1"/>
  <c r="O55" i="1"/>
  <c r="O56" i="1"/>
  <c r="O35" i="1"/>
  <c r="O18" i="1"/>
  <c r="O19" i="1"/>
  <c r="O20" i="1"/>
  <c r="O21" i="1"/>
  <c r="O22" i="1"/>
  <c r="O23" i="1"/>
  <c r="O24" i="1"/>
  <c r="O25" i="1"/>
  <c r="O26" i="1"/>
  <c r="O27" i="1"/>
  <c r="O28" i="1"/>
  <c r="O29" i="1"/>
  <c r="M84" i="1" l="1"/>
  <c r="P84" i="1" s="1"/>
  <c r="M85" i="1"/>
  <c r="P85" i="1" s="1"/>
  <c r="M86" i="1"/>
  <c r="P86" i="1" s="1"/>
  <c r="M83" i="1"/>
  <c r="P83" i="1" s="1"/>
  <c r="M70" i="1"/>
  <c r="P70" i="1" s="1"/>
  <c r="M71" i="1"/>
  <c r="P71" i="1" s="1"/>
  <c r="M72" i="1"/>
  <c r="P72" i="1" s="1"/>
  <c r="M73" i="1"/>
  <c r="P73" i="1" s="1"/>
  <c r="M74" i="1"/>
  <c r="P74" i="1" s="1"/>
  <c r="M75" i="1"/>
  <c r="P75" i="1" s="1"/>
  <c r="M76" i="1"/>
  <c r="P76" i="1" s="1"/>
  <c r="M77" i="1"/>
  <c r="P77" i="1" s="1"/>
  <c r="M78" i="1"/>
  <c r="P78" i="1" s="1"/>
  <c r="M69" i="1"/>
  <c r="P69" i="1" s="1"/>
  <c r="M36" i="1"/>
  <c r="P36" i="1" s="1"/>
  <c r="M37" i="1"/>
  <c r="P37" i="1" s="1"/>
  <c r="M38" i="1"/>
  <c r="P38" i="1" s="1"/>
  <c r="M39" i="1"/>
  <c r="P39" i="1" s="1"/>
  <c r="M40" i="1"/>
  <c r="P40" i="1" s="1"/>
  <c r="M41" i="1"/>
  <c r="P41" i="1" s="1"/>
  <c r="M42" i="1"/>
  <c r="P42" i="1" s="1"/>
  <c r="M43" i="1"/>
  <c r="P43" i="1" s="1"/>
  <c r="M44" i="1"/>
  <c r="P44" i="1" s="1"/>
  <c r="M45" i="1"/>
  <c r="P45" i="1" s="1"/>
  <c r="M46" i="1"/>
  <c r="P46" i="1" s="1"/>
  <c r="M47" i="1"/>
  <c r="P47" i="1" s="1"/>
  <c r="M48" i="1"/>
  <c r="P48" i="1" s="1"/>
  <c r="M49" i="1"/>
  <c r="P49" i="1" s="1"/>
  <c r="M51" i="1"/>
  <c r="P51" i="1" s="1"/>
  <c r="M52" i="1"/>
  <c r="P52" i="1" s="1"/>
  <c r="M53" i="1"/>
  <c r="P53" i="1" s="1"/>
  <c r="M54" i="1"/>
  <c r="P54" i="1" s="1"/>
  <c r="M55" i="1"/>
  <c r="P55" i="1" s="1"/>
  <c r="M56" i="1"/>
  <c r="P56" i="1" s="1"/>
  <c r="M35" i="1" l="1"/>
  <c r="P35" i="1" s="1"/>
  <c r="M18" i="1"/>
  <c r="P18" i="1" s="1"/>
  <c r="M19" i="1"/>
  <c r="P19" i="1" s="1"/>
  <c r="M20" i="1"/>
  <c r="P20" i="1" s="1"/>
  <c r="M21" i="1"/>
  <c r="P21" i="1" s="1"/>
  <c r="M22" i="1"/>
  <c r="P22" i="1" s="1"/>
  <c r="M23" i="1"/>
  <c r="P23" i="1" s="1"/>
  <c r="M24" i="1"/>
  <c r="P24" i="1" s="1"/>
  <c r="M25" i="1"/>
  <c r="P25" i="1" s="1"/>
  <c r="M26" i="1"/>
  <c r="P26" i="1" s="1"/>
  <c r="M27" i="1"/>
  <c r="P27" i="1" s="1"/>
  <c r="M28" i="1"/>
  <c r="P28" i="1" s="1"/>
  <c r="M29" i="1"/>
  <c r="P29" i="1" s="1"/>
</calcChain>
</file>

<file path=xl/sharedStrings.xml><?xml version="1.0" encoding="utf-8"?>
<sst xmlns="http://schemas.openxmlformats.org/spreadsheetml/2006/main" count="1127" uniqueCount="353">
  <si>
    <t>En aplicació de la Llei de Pressupostos de l'Estat:</t>
  </si>
  <si>
    <t>-Les pagues extres inclouen: sou base (diferent del mensual), c.de destí, c. específic i triennis (diferent del mensual)</t>
  </si>
  <si>
    <t>GRUP</t>
  </si>
  <si>
    <t>NIVELL</t>
  </si>
  <si>
    <t>SUBNIVELL</t>
  </si>
  <si>
    <t>A1</t>
  </si>
  <si>
    <t>A2</t>
  </si>
  <si>
    <t>SOU BASE</t>
  </si>
  <si>
    <t>COMPLEMET 
DE DESTÍ</t>
  </si>
  <si>
    <t>COMPLEMENT
ESPECÍFIC</t>
  </si>
  <si>
    <t>GRUP A</t>
  </si>
  <si>
    <t>SUBGRUP</t>
  </si>
  <si>
    <t>TOTAL
MENSUAL</t>
  </si>
  <si>
    <t>SOU BASE
(PAGA EXTRA)</t>
  </si>
  <si>
    <t>PAGA EXTRA</t>
  </si>
  <si>
    <t>TOTAL ANUAL</t>
  </si>
  <si>
    <t>1s</t>
  </si>
  <si>
    <t>3s</t>
  </si>
  <si>
    <t>GRUP C</t>
  </si>
  <si>
    <t>C1</t>
  </si>
  <si>
    <t>valors mensuals</t>
  </si>
  <si>
    <t>Subgrup A1</t>
  </si>
  <si>
    <t>Subgrup A2</t>
  </si>
  <si>
    <t>Subgrup C1</t>
  </si>
  <si>
    <t>Subgrup C2</t>
  </si>
  <si>
    <t>valors per a la pagues extraordinàries</t>
  </si>
  <si>
    <t>14 PAGUES</t>
  </si>
  <si>
    <t>Grup I</t>
  </si>
  <si>
    <t>Grup II</t>
  </si>
  <si>
    <t>Grup III</t>
  </si>
  <si>
    <t>Grup IV</t>
  </si>
  <si>
    <t>- Les dues pagues extres inclouen: sou base i triennis</t>
  </si>
  <si>
    <t>C2</t>
  </si>
  <si>
    <t>MESURES SOCIALS</t>
  </si>
  <si>
    <t>COMPLEMENT  DE 
LLOC DE TREBALL</t>
  </si>
  <si>
    <t>GRUP 1</t>
  </si>
  <si>
    <t>GRUP 2</t>
  </si>
  <si>
    <t>TOTAL MENSUAL</t>
  </si>
  <si>
    <t>GRUP 3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</si>
  <si>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</si>
  <si>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</si>
  <si>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</si>
  <si>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</si>
  <si>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</si>
  <si>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</si>
  <si>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</si>
  <si>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</si>
  <si>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</si>
  <si>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</si>
  <si>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</si>
  <si>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</si>
  <si>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</si>
  <si>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</si>
  <si>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</si>
  <si>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</si>
  <si>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S</t>
  </si>
  <si>
    <t xml:space="preserve">G </t>
  </si>
  <si>
    <t xml:space="preserve">K </t>
  </si>
  <si>
    <t>Ñ</t>
  </si>
  <si>
    <t>T</t>
  </si>
  <si>
    <t>R</t>
  </si>
  <si>
    <t>GRUP 4</t>
  </si>
  <si>
    <t>NORMALS/DIURNES</t>
  </si>
  <si>
    <t>FESTIVES/NOCTURNES</t>
  </si>
  <si>
    <t>A (GERENT)</t>
  </si>
  <si>
    <t xml:space="preserve">A </t>
  </si>
  <si>
    <t>A (VICEGERENT)</t>
  </si>
  <si>
    <t>A1 (VICEGERÈNCIA)</t>
  </si>
  <si>
    <t>CATEGORIA</t>
  </si>
  <si>
    <t>DED.</t>
  </si>
  <si>
    <t>COMPLEMENT
DE DESTÍ</t>
  </si>
  <si>
    <t>COMPLEMENT
ESPECÍFIC GRAL.</t>
  </si>
  <si>
    <t>ACORD MG
D'UNIVERSITATS</t>
  </si>
  <si>
    <t>COMPLEMENT
ESPECÍFIC AMG</t>
  </si>
  <si>
    <t>TOTAL 
MENSUAL</t>
  </si>
  <si>
    <t>SOU BASE 
(PAGA EXTRA)</t>
  </si>
  <si>
    <t>Catedràtic d'Universitat</t>
  </si>
  <si>
    <t>TC</t>
  </si>
  <si>
    <t>T6</t>
  </si>
  <si>
    <t>T4</t>
  </si>
  <si>
    <t>T3</t>
  </si>
  <si>
    <t>P. Titular d'Universitat</t>
  </si>
  <si>
    <t>P. Titular d'Escola Universitària</t>
  </si>
  <si>
    <t>CAT.</t>
  </si>
  <si>
    <t>COMPLEMENT
DE CATEGORIA</t>
  </si>
  <si>
    <t>COMPLEMENT
DE LLOC</t>
  </si>
  <si>
    <t>Professor Lector</t>
  </si>
  <si>
    <t>LEC-01</t>
  </si>
  <si>
    <t>Professor Agregat</t>
  </si>
  <si>
    <t>AGRE-01</t>
  </si>
  <si>
    <t>Professor Agregat Interí</t>
  </si>
  <si>
    <t>C08</t>
  </si>
  <si>
    <t>Professor Catedràtic Laboral</t>
  </si>
  <si>
    <t>Investigador PostDoc</t>
  </si>
  <si>
    <t>IP</t>
  </si>
  <si>
    <t>COL T1ND</t>
  </si>
  <si>
    <t>COL T1D</t>
  </si>
  <si>
    <t>Associat 1</t>
  </si>
  <si>
    <t>TP6</t>
  </si>
  <si>
    <t>TP5</t>
  </si>
  <si>
    <t>TP4</t>
  </si>
  <si>
    <t>TP3</t>
  </si>
  <si>
    <t>TP2</t>
  </si>
  <si>
    <t>TP1</t>
  </si>
  <si>
    <t>Associat 2</t>
  </si>
  <si>
    <t>Associat 3</t>
  </si>
  <si>
    <t>Associat 4</t>
  </si>
  <si>
    <t>Associat Metge</t>
  </si>
  <si>
    <t>Associat Infermeria</t>
  </si>
  <si>
    <t>Associat Fisioteràpia</t>
  </si>
  <si>
    <t>Associal Psicologia</t>
  </si>
  <si>
    <t>DEDICACIÓ</t>
  </si>
  <si>
    <t>V1</t>
  </si>
  <si>
    <t>P03</t>
  </si>
  <si>
    <t>V2</t>
  </si>
  <si>
    <t>P04</t>
  </si>
  <si>
    <t>P05</t>
  </si>
  <si>
    <t>P06</t>
  </si>
  <si>
    <t>V3</t>
  </si>
  <si>
    <t>V4</t>
  </si>
  <si>
    <t>EL1</t>
  </si>
  <si>
    <t>Investigador post-doctoral</t>
  </si>
  <si>
    <t>-</t>
  </si>
  <si>
    <t>Investigador ordinari</t>
  </si>
  <si>
    <t>Investigador Ramon y Cajal (MINECO)</t>
  </si>
  <si>
    <t>Investigador Juan de la Cierva (MINECO)</t>
  </si>
  <si>
    <t>Mínim segons convocatòria</t>
  </si>
  <si>
    <t>Investigador Juan de la Cierva-formació</t>
  </si>
  <si>
    <t>Investigador Juan de la Cierva-incorporació</t>
  </si>
  <si>
    <t>Investigador Beatriu de Pinós (AGAUR)</t>
  </si>
  <si>
    <t>TIPUS</t>
  </si>
  <si>
    <t>I1949</t>
  </si>
  <si>
    <t>Retribució publicada per l'òrgan competent (establerta a cada convocatòria)</t>
  </si>
  <si>
    <t>FPI</t>
  </si>
  <si>
    <t>FPU</t>
  </si>
  <si>
    <t>I període (1r any)</t>
  </si>
  <si>
    <t>II període (2n i 3r any)</t>
  </si>
  <si>
    <t>1r any</t>
  </si>
  <si>
    <t>2n any</t>
  </si>
  <si>
    <t>3r any</t>
  </si>
  <si>
    <t>4art any</t>
  </si>
  <si>
    <t>VALOR MENSUAL</t>
  </si>
  <si>
    <t xml:space="preserve">Rectora                                                                                                                                                   </t>
  </si>
  <si>
    <t>CCE</t>
  </si>
  <si>
    <t xml:space="preserve">VALOR TOTAL </t>
  </si>
  <si>
    <t>ACORD MG UNIVERSITATS</t>
  </si>
  <si>
    <t>CU</t>
  </si>
  <si>
    <t>TU/CEU</t>
  </si>
  <si>
    <t>TEU</t>
  </si>
  <si>
    <t>Catedràtic/a</t>
  </si>
  <si>
    <t>Agregat/da</t>
  </si>
  <si>
    <t>Lector/a</t>
  </si>
  <si>
    <t>Col·laborador/a de doctor/a</t>
  </si>
  <si>
    <t>VENCIMENT DEL TRAM</t>
  </si>
  <si>
    <t>IMPORT
INCIAL</t>
  </si>
  <si>
    <t>IMPORT
MENSUAL</t>
  </si>
  <si>
    <t>CU-29</t>
  </si>
  <si>
    <t>20 % Ministeri</t>
  </si>
  <si>
    <t>TU/CEU - 27</t>
  </si>
  <si>
    <t>TEU-26</t>
  </si>
  <si>
    <t>CATED</t>
  </si>
  <si>
    <t>Vençuts fins l'any 2002</t>
  </si>
  <si>
    <t>AGREG</t>
  </si>
  <si>
    <t>0,9% retrib</t>
  </si>
  <si>
    <t>LECT</t>
  </si>
  <si>
    <t>COL-SD</t>
  </si>
  <si>
    <t>COL-ND</t>
  </si>
  <si>
    <t>50 % Ministeri</t>
  </si>
  <si>
    <t>887</t>
  </si>
  <si>
    <t>719</t>
  </si>
  <si>
    <t>2,3% retrib</t>
  </si>
  <si>
    <t>1331</t>
  </si>
  <si>
    <t>1078</t>
  </si>
  <si>
    <t>963</t>
  </si>
  <si>
    <t>Vençuts fins l'any 2005 i 2006</t>
  </si>
  <si>
    <t>3,45% retrib</t>
  </si>
  <si>
    <t xml:space="preserve">Increment del </t>
  </si>
  <si>
    <t xml:space="preserve">33,33 % del </t>
  </si>
  <si>
    <t>valor dels trams vençuts</t>
  </si>
  <si>
    <t>Vençuts fins l'any 2007</t>
  </si>
  <si>
    <t>en els anys 2005 i 2006</t>
  </si>
  <si>
    <t>(aprox. El 100% dels</t>
  </si>
  <si>
    <t>mèrits estatals)</t>
  </si>
  <si>
    <t>TIPUS TRAM</t>
  </si>
  <si>
    <t>PUNTS</t>
  </si>
  <si>
    <t>Tram 1</t>
  </si>
  <si>
    <t>Tram 2</t>
  </si>
  <si>
    <t>45</t>
  </si>
  <si>
    <t>Tram 3</t>
  </si>
  <si>
    <t>55</t>
  </si>
  <si>
    <t>Tram 4</t>
  </si>
  <si>
    <t>65</t>
  </si>
  <si>
    <t>ESTADIS</t>
  </si>
  <si>
    <t>1r ESTADI</t>
  </si>
  <si>
    <t>2n ESTADI</t>
  </si>
  <si>
    <t>3r ESTADI</t>
  </si>
  <si>
    <t>4rt ESTADI</t>
  </si>
  <si>
    <t>5è ESTADI</t>
  </si>
  <si>
    <t>DEDICACIÓ A TEMPS COMPLERT</t>
  </si>
  <si>
    <t>14 pagues</t>
  </si>
  <si>
    <t>GRUP I - ASSOCIAT TP1</t>
  </si>
  <si>
    <t>GRUP I- ASSOCIAT TP2</t>
  </si>
  <si>
    <t>GRUP I - ASSOCIAT TP3</t>
  </si>
  <si>
    <t>GRUP I - ASSOCIAT TP4</t>
  </si>
  <si>
    <t>GRUP I- ASSOCIAT TP5</t>
  </si>
  <si>
    <t>GRUP I - ASSOCIAT TP6</t>
  </si>
  <si>
    <t>GRUP I - RESTA DE CATEGORIES A TC</t>
  </si>
  <si>
    <t>Valors mensuals</t>
  </si>
  <si>
    <t>Subgrup A1 - TC</t>
  </si>
  <si>
    <t>Subgrup A1 - TP6</t>
  </si>
  <si>
    <t>Subgrup A1 - TP4</t>
  </si>
  <si>
    <t>Subgrup A1 - TP3</t>
  </si>
  <si>
    <t>Valors per a les pagues extraordinàries</t>
  </si>
  <si>
    <t>QUOTA PATRONAL</t>
  </si>
  <si>
    <t>QUOTA OBRERA</t>
  </si>
  <si>
    <t>Cont. Comuns</t>
  </si>
  <si>
    <t>AT i MP</t>
  </si>
  <si>
    <t>Atur</t>
  </si>
  <si>
    <t>FOGASA</t>
  </si>
  <si>
    <t>FP</t>
  </si>
  <si>
    <t>Total 
Quota Patronal</t>
  </si>
  <si>
    <t>Cont.
Comuns</t>
  </si>
  <si>
    <t>Total 
Quota Obrera</t>
  </si>
  <si>
    <t>23,60 %</t>
  </si>
  <si>
    <t>1,00%</t>
  </si>
  <si>
    <t>0,60%</t>
  </si>
  <si>
    <t>25,20%</t>
  </si>
  <si>
    <t>4,70%</t>
  </si>
  <si>
    <t>0,10%</t>
  </si>
  <si>
    <t>4,80%</t>
  </si>
  <si>
    <t>Funcionari nou ingrés - PDI</t>
  </si>
  <si>
    <t>23,60%</t>
  </si>
  <si>
    <t>0,35%</t>
  </si>
  <si>
    <t>Funcionari Interí</t>
  </si>
  <si>
    <t>5,50%</t>
  </si>
  <si>
    <t>30,70%</t>
  </si>
  <si>
    <t>1,55%</t>
  </si>
  <si>
    <t>6,35%</t>
  </si>
  <si>
    <t>0,20%</t>
  </si>
  <si>
    <t>Laboral Fix</t>
  </si>
  <si>
    <t>30,90%</t>
  </si>
  <si>
    <t>6,70%</t>
  </si>
  <si>
    <t>32,10%</t>
  </si>
  <si>
    <t>1,60%</t>
  </si>
  <si>
    <t>6,40%</t>
  </si>
  <si>
    <t>25,02%</t>
  </si>
  <si>
    <t>Laboral T. Investigador 
predoctoral (bonificat)</t>
  </si>
  <si>
    <t xml:space="preserve">Estudiants en practiques 
</t>
  </si>
  <si>
    <t>4,78 €</t>
  </si>
  <si>
    <t>Funcionari Carrera -PAS</t>
  </si>
  <si>
    <t>34,80 €</t>
  </si>
  <si>
    <t>39,58 €</t>
  </si>
  <si>
    <t>6,94  €</t>
  </si>
  <si>
    <t>6,94€</t>
  </si>
  <si>
    <t>- Les pagues extraordinàries estan prorratejades en el sou</t>
  </si>
  <si>
    <t>Tècnic superior de SR</t>
  </si>
  <si>
    <t>Tècnic mitjà de SR</t>
  </si>
  <si>
    <t>Tècnic especialista de SR</t>
  </si>
  <si>
    <t>Auxiliar de SR</t>
  </si>
  <si>
    <t>Investigador distingit</t>
  </si>
  <si>
    <t>Investigador predoctoral amb finançament específic</t>
  </si>
  <si>
    <t xml:space="preserve">Base màxima de gener a juliol 2018 </t>
  </si>
  <si>
    <t>Els càrrecs acadèmic són per 14 pagues</t>
  </si>
  <si>
    <t>EQUIP DE GOVERN</t>
  </si>
  <si>
    <t>Adjunt/a dels Vicerectorats o càrrecs assimilats</t>
  </si>
  <si>
    <t>FACULTATS I ESCOLES</t>
  </si>
  <si>
    <t>Secretari/ària de Centre</t>
  </si>
  <si>
    <t>Secretari/ària Territorial</t>
  </si>
  <si>
    <t>DEPARTAMENTS</t>
  </si>
  <si>
    <t>Director/a de Departament</t>
  </si>
  <si>
    <t>Secretari/ària de Departament</t>
  </si>
  <si>
    <t>INSTITUTS PROPIS</t>
  </si>
  <si>
    <t>Director/a d'Institut Propi</t>
  </si>
  <si>
    <t>Secretari/ària General</t>
  </si>
  <si>
    <t>Vicerector/a o Comissionat/da</t>
  </si>
  <si>
    <t>Delegat/da de la Rectora o càrrecs assimilats</t>
  </si>
  <si>
    <t>Degà/na o Director/a</t>
  </si>
  <si>
    <t>Coordinador/a (Ud. Hospitalària)</t>
  </si>
  <si>
    <t>Secretari/ària d'Institut Propi</t>
  </si>
  <si>
    <t>Per coordinació doctorat</t>
  </si>
  <si>
    <t>Associat Veterinari</t>
  </si>
  <si>
    <t>Catedràtic d'Escola Universitària</t>
  </si>
  <si>
    <t>Personal Investigador Formació Gob. Bas</t>
  </si>
  <si>
    <t>Investigador en formació Novell Catalunya (1r any)</t>
  </si>
  <si>
    <t>Investigador en formació Novell Catalunya (2n i 3r any)</t>
  </si>
  <si>
    <t>Professor Col·laborador (No Doctor)</t>
  </si>
  <si>
    <t>Professor Col·laborador (Doctor)</t>
  </si>
  <si>
    <t>12 PAGUES</t>
  </si>
  <si>
    <t>JULIOL A DESEMBRE 2018</t>
  </si>
  <si>
    <t>GENER A JUNY 2018</t>
  </si>
  <si>
    <t xml:space="preserve">RETRIBUCIÓ DEL PAS FUNCIONARI </t>
  </si>
  <si>
    <t>GENER A JUNY18</t>
  </si>
  <si>
    <t>JULIOL A DESEMBRE18</t>
  </si>
  <si>
    <t xml:space="preserve">RETRIBUCIÓ DEL PAS LABORAL </t>
  </si>
  <si>
    <t xml:space="preserve">TRIENNIS PAS LABORAL </t>
  </si>
  <si>
    <t>JULIOL-DESEMBRE18</t>
  </si>
  <si>
    <t>GENER A JUNY 18</t>
  </si>
  <si>
    <t>RETRIBUCIÓ DEL PAS LABORAL FINANÇAMENT ESPECÍFIC (PERSONAL DE SUPORT A LA RECERCA)</t>
  </si>
  <si>
    <t xml:space="preserve">TRIENNIS PERSONAL FUNCIONARI </t>
  </si>
  <si>
    <t>HORES EXTRES PAS FUNCIONARI</t>
  </si>
  <si>
    <t>ACORD MG. 0,2%</t>
  </si>
  <si>
    <t>ACORD MG.0,2%</t>
  </si>
  <si>
    <t>JULIOL A DESEMBRE 18</t>
  </si>
  <si>
    <t>COMPLEMENT 
DE DESTÍ</t>
  </si>
  <si>
    <t xml:space="preserve">ESTADIS DE SECUNDÀRIA (valors mensuals) </t>
  </si>
  <si>
    <t xml:space="preserve">TRIENNIS PDI LABORAL </t>
  </si>
  <si>
    <t>ACORD MG 0,2%</t>
  </si>
  <si>
    <t>RETRIBUCIÓ DEL PROFESSORAT EMÈRIT</t>
  </si>
  <si>
    <t xml:space="preserve">RETRIBUCIÓ DEL PROFESSORAT VISITANT </t>
  </si>
  <si>
    <t xml:space="preserve">RETRIBUCIÓ DEL PROFESSORAT ASSOCIAT </t>
  </si>
  <si>
    <t>RETRIBUCIÓ DEL PDI LABORAL</t>
  </si>
  <si>
    <t xml:space="preserve">TRIENNIS PDI FUNCIONARI </t>
  </si>
  <si>
    <t>RETRIBUCIÓ DEL PDI FUNCIONARI</t>
  </si>
  <si>
    <t>CÀRRECS ACADÈMICS</t>
  </si>
  <si>
    <t>TRAMS AUTONÒMICS DE GESTIÓ</t>
  </si>
  <si>
    <t xml:space="preserve">TRAMS AUTONÒMICS DE RECERCA </t>
  </si>
  <si>
    <t>TRAMS AUTONÒMICS DE DOCÈNCIA</t>
  </si>
  <si>
    <t>TRAMS AUTONÒMICS</t>
  </si>
  <si>
    <t>MÈRITS ESTATALS DE DOCÈNCIA I INVESTIGACIÓ DEL PDI LABORAL (TRAMS BÀSICS DE DOCÈNCIA I INVESTIGACIÓ)</t>
  </si>
  <si>
    <t>MÈRITS ESTATALS DE DOCÈNCIA I INVESTIGACIÓ DEL PDI FUNCIONARI (Valors mensuals)</t>
  </si>
  <si>
    <t>MÈRITS ESTATALS</t>
  </si>
  <si>
    <t>RETRIBUCIÓ DEL PERSONAL INVESTIGADOR PREDOCTORAL EN FORMACIÓ - AJUTS LA CAIXA (Contracte predoctoral)</t>
  </si>
  <si>
    <t>RETRIBUCIÓ DEL PERSONAL INVESTIGADOR PREDOCTORAL EN FORMACIÓ - AJUTS AGAUR (Contracte predoctoral de 3 anys)</t>
  </si>
  <si>
    <t>RETRIBUCIÓ DEL PERSONAL INVESTIGADOR PREDOCTORAL EN FORMACIÓ - AJUTS Ministeris (Contracte predoctoral per un màxim de 4 anys)</t>
  </si>
  <si>
    <t>RETRIBUCIÓ DEL PERSONAL INVESTIGADOR PREDOCTORAL EN FORMACIÓ - AJUTS UAB (Contracte predoctoral per un màxim de 4 anys)</t>
  </si>
  <si>
    <t>RETRIBUCIÓ DEL PERSONAL INVESTIGADOR POSTDOCTORAL DE CONVOCATÒRIES EXTERNES</t>
  </si>
  <si>
    <t>RETRIBUCIÓ DEL PERSONAL INVESTIGADOR A CÀRREC DE PROJECTES DE RECERCA</t>
  </si>
  <si>
    <t>Base màxima a partir d'agost 2018</t>
  </si>
  <si>
    <t>INGRÉS DE QUOTES AL RÈGIM ESPECIAL DE FUNCIONARIS DE L'ESTAT (Funcionari PDI abans de 2011)</t>
  </si>
  <si>
    <t>Quota Muface</t>
  </si>
  <si>
    <t>Quota Classes Passives</t>
  </si>
  <si>
    <t>Vençuts fins l'any 2003 i 2004</t>
  </si>
  <si>
    <t>Col·laborador/a  no doctor/a</t>
  </si>
  <si>
    <t>PIF Formació Personal Universitari - MIN</t>
  </si>
  <si>
    <t>PIF Formació Personal Investigador - MIN</t>
  </si>
  <si>
    <t>PIF Investigador en Formació - LA CAIXA</t>
  </si>
  <si>
    <t>PIF Personal Investigador en Formació - UAB (contracte 3 anys)</t>
  </si>
  <si>
    <t>PIF Personal Investigador en Formació - UAB (contracte mín. 3 màx. 4 anys)</t>
  </si>
  <si>
    <t>PIF Investigador en Formació Novell Catalunya - GEN</t>
  </si>
  <si>
    <t>COTITZACIÓ AL RÈGIM GENERAL DE LA SEGURETAT SOCIAL DEL PAS I PDI - Gener 2018 a Desembre 2018</t>
  </si>
  <si>
    <t>23,95%</t>
  </si>
  <si>
    <t>ENCÀRRECS DE COL.LABORACIÓ: IMPORT MÀXIM ANUAL 142.316,40€</t>
  </si>
  <si>
    <t>Laboral temporal</t>
  </si>
  <si>
    <t>- Les dues pagues extres inclouen: sou base, complement de categoria, complement de lloc, acord mg, triennis i càrrecs acadèmics</t>
  </si>
  <si>
    <t>- Les dues pagues extres inclouen: sou base</t>
  </si>
  <si>
    <t>Grup A1/1</t>
  </si>
  <si>
    <t>Grup B1/2</t>
  </si>
  <si>
    <t>Grup B2/3</t>
  </si>
  <si>
    <t>Grup C1/4</t>
  </si>
  <si>
    <t>-Les pagues extres inclouen: sou base (diferent del mensual), c.de destí, c. específic gral, acord mg d'universitats, complement específic amg, triennis (diferent del mensual), mèrits de docència i càrrecs acadèmics</t>
  </si>
  <si>
    <t xml:space="preserve">TRIENNIS PAS LABORAL FINANÇAMENT ESPECÍFIC (PERSONAL DE SUPORT A LA RECERCA) </t>
  </si>
  <si>
    <t>HORES EXTRES PAS LABORAL</t>
  </si>
  <si>
    <t>ENCÀRRECS DE COL.LABORACIÓ: IMPORT MÀXIM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</si>
</sst>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#,##0.00\ &quot;€&quot;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9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</patternFill>
    </fill>
    <fill>
      <patternFill patternType="solid">
        <fgColor rgb="FFE4CEAE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9" borderId="0" applyNumberFormat="0" applyBorder="0" applyAlignment="0" applyProtection="0"/>
  </cellStyleXfs>
  <cellXfs count="742">
    <xf numFmtId="0" fontId="0" fillId="0" borderId="0" xfId="0"/>
    <xf numFmtId="0" fontId="0" fillId="0" borderId="5" xfId="0" applyBorder="1"/>
    <xf numFmtId="165" fontId="3" fillId="2" borderId="10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165" fontId="3" fillId="2" borderId="12" xfId="0" applyNumberFormat="1" applyFont="1" applyFill="1" applyBorder="1" applyAlignment="1">
      <alignment horizontal="right" vertical="center"/>
    </xf>
    <xf numFmtId="165" fontId="4" fillId="3" borderId="12" xfId="0" applyNumberFormat="1" applyFont="1" applyFill="1" applyBorder="1" applyAlignment="1">
      <alignment horizontal="right" vertical="center"/>
    </xf>
    <xf numFmtId="0" fontId="0" fillId="0" borderId="0" xfId="0" applyBorder="1"/>
    <xf numFmtId="165" fontId="0" fillId="0" borderId="0" xfId="0" applyNumberFormat="1" applyBorder="1"/>
    <xf numFmtId="165" fontId="3" fillId="0" borderId="0" xfId="0" applyNumberFormat="1" applyFont="1" applyFill="1" applyBorder="1" applyAlignment="1">
      <alignment horizontal="righ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0" fillId="0" borderId="6" xfId="0" applyNumberFormat="1" applyBorder="1"/>
    <xf numFmtId="0" fontId="5" fillId="0" borderId="0" xfId="0" applyFont="1" applyAlignment="1">
      <alignment vertical="center"/>
    </xf>
    <xf numFmtId="0" fontId="0" fillId="0" borderId="0" xfId="0" applyBorder="1" applyAlignment="1">
      <alignment horizontal="right"/>
    </xf>
    <xf numFmtId="0" fontId="6" fillId="0" borderId="0" xfId="0" applyFont="1"/>
    <xf numFmtId="0" fontId="1" fillId="0" borderId="0" xfId="0" applyFont="1"/>
    <xf numFmtId="165" fontId="0" fillId="0" borderId="9" xfId="0" applyNumberFormat="1" applyBorder="1"/>
    <xf numFmtId="0" fontId="7" fillId="0" borderId="0" xfId="0" applyFont="1"/>
    <xf numFmtId="0" fontId="0" fillId="0" borderId="10" xfId="0" applyBorder="1" applyAlignment="1">
      <alignment horizontal="right" vertical="center"/>
    </xf>
    <xf numFmtId="0" fontId="0" fillId="0" borderId="0" xfId="0"/>
    <xf numFmtId="165" fontId="3" fillId="2" borderId="5" xfId="0" applyNumberFormat="1" applyFont="1" applyFill="1" applyBorder="1" applyAlignment="1">
      <alignment horizontal="right" vertical="center"/>
    </xf>
    <xf numFmtId="0" fontId="0" fillId="5" borderId="0" xfId="0" applyFill="1"/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0" xfId="0" applyFill="1"/>
    <xf numFmtId="0" fontId="0" fillId="0" borderId="0" xfId="0" applyFill="1"/>
    <xf numFmtId="4" fontId="0" fillId="0" borderId="0" xfId="0" applyNumberFormat="1" applyFill="1" applyBorder="1"/>
    <xf numFmtId="0" fontId="0" fillId="0" borderId="0" xfId="0" applyFill="1" applyBorder="1"/>
    <xf numFmtId="0" fontId="0" fillId="6" borderId="0" xfId="0" applyFill="1" applyBorder="1"/>
    <xf numFmtId="0" fontId="0" fillId="0" borderId="13" xfId="0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165" fontId="0" fillId="2" borderId="5" xfId="0" applyNumberFormat="1" applyFill="1" applyBorder="1"/>
    <xf numFmtId="165" fontId="1" fillId="3" borderId="5" xfId="0" applyNumberFormat="1" applyFont="1" applyFill="1" applyBorder="1"/>
    <xf numFmtId="165" fontId="0" fillId="7" borderId="5" xfId="0" applyNumberFormat="1" applyFill="1" applyBorder="1"/>
    <xf numFmtId="165" fontId="1" fillId="3" borderId="5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wrapText="1"/>
    </xf>
    <xf numFmtId="49" fontId="0" fillId="0" borderId="0" xfId="0" applyNumberFormat="1"/>
    <xf numFmtId="0" fontId="0" fillId="0" borderId="0" xfId="0" applyBorder="1" applyAlignment="1">
      <alignment horizontal="center" wrapText="1"/>
    </xf>
    <xf numFmtId="165" fontId="0" fillId="2" borderId="5" xfId="0" applyNumberFormat="1" applyFont="1" applyFill="1" applyBorder="1"/>
    <xf numFmtId="0" fontId="0" fillId="0" borderId="5" xfId="0" applyBorder="1" applyAlignment="1">
      <alignment horizontal="right" vertical="center"/>
    </xf>
    <xf numFmtId="165" fontId="0" fillId="2" borderId="5" xfId="0" applyNumberFormat="1" applyFont="1" applyFill="1" applyBorder="1" applyAlignment="1">
      <alignment vertical="center"/>
    </xf>
    <xf numFmtId="165" fontId="0" fillId="7" borderId="5" xfId="0" applyNumberFormat="1" applyFont="1" applyFill="1" applyBorder="1"/>
    <xf numFmtId="165" fontId="0" fillId="7" borderId="5" xfId="0" applyNumberFormat="1" applyFont="1" applyFill="1" applyBorder="1" applyAlignment="1">
      <alignment vertical="center"/>
    </xf>
    <xf numFmtId="0" fontId="0" fillId="0" borderId="26" xfId="0" applyBorder="1"/>
    <xf numFmtId="0" fontId="0" fillId="0" borderId="26" xfId="0" applyFill="1" applyBorder="1"/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/>
    <xf numFmtId="0" fontId="0" fillId="0" borderId="30" xfId="0" applyBorder="1"/>
    <xf numFmtId="0" fontId="0" fillId="0" borderId="14" xfId="0" applyFill="1" applyBorder="1"/>
    <xf numFmtId="0" fontId="0" fillId="0" borderId="30" xfId="0" applyFill="1" applyBorder="1"/>
    <xf numFmtId="165" fontId="0" fillId="0" borderId="0" xfId="0" applyNumberFormat="1"/>
    <xf numFmtId="49" fontId="0" fillId="0" borderId="0" xfId="0" applyNumberFormat="1" applyFill="1" applyBorder="1"/>
    <xf numFmtId="0" fontId="0" fillId="0" borderId="0" xfId="0" applyFill="1" applyBorder="1" applyAlignment="1"/>
    <xf numFmtId="49" fontId="0" fillId="0" borderId="0" xfId="0" applyNumberFormat="1" applyFill="1"/>
    <xf numFmtId="0" fontId="9" fillId="0" borderId="0" xfId="0" applyFont="1" applyFill="1" applyBorder="1" applyAlignment="1">
      <alignment vertical="center"/>
    </xf>
    <xf numFmtId="0" fontId="6" fillId="0" borderId="0" xfId="0" applyFont="1" applyAlignment="1"/>
    <xf numFmtId="0" fontId="12" fillId="0" borderId="0" xfId="5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quotePrefix="1"/>
    <xf numFmtId="0" fontId="14" fillId="0" borderId="0" xfId="6" applyFont="1" applyFill="1" applyAlignment="1"/>
    <xf numFmtId="165" fontId="0" fillId="0" borderId="0" xfId="0" applyNumberFormat="1" applyFill="1" applyBorder="1" applyAlignment="1"/>
    <xf numFmtId="0" fontId="14" fillId="0" borderId="0" xfId="6" applyFont="1" applyFill="1" applyAlignment="1">
      <alignment horizontal="center"/>
    </xf>
    <xf numFmtId="165" fontId="0" fillId="0" borderId="0" xfId="0" applyNumberForma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ill="1" applyBorder="1"/>
    <xf numFmtId="0" fontId="0" fillId="0" borderId="4" xfId="0" applyFill="1" applyBorder="1"/>
    <xf numFmtId="0" fontId="0" fillId="10" borderId="1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/>
    </xf>
    <xf numFmtId="0" fontId="0" fillId="10" borderId="5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/>
    </xf>
    <xf numFmtId="4" fontId="10" fillId="0" borderId="0" xfId="0" applyNumberFormat="1" applyFont="1"/>
    <xf numFmtId="0" fontId="15" fillId="0" borderId="0" xfId="6" applyFont="1" applyFill="1" applyAlignment="1">
      <alignment horizontal="center" wrapText="1"/>
    </xf>
    <xf numFmtId="0" fontId="1" fillId="10" borderId="1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0" xfId="0" applyFont="1" applyBorder="1"/>
    <xf numFmtId="165" fontId="0" fillId="0" borderId="6" xfId="0" applyNumberFormat="1" applyFill="1" applyBorder="1"/>
    <xf numFmtId="0" fontId="0" fillId="0" borderId="7" xfId="0" applyFill="1" applyBorder="1"/>
    <xf numFmtId="165" fontId="0" fillId="0" borderId="9" xfId="0" applyNumberFormat="1" applyFill="1" applyBorder="1"/>
    <xf numFmtId="165" fontId="0" fillId="0" borderId="5" xfId="0" applyNumberFormat="1" applyFill="1" applyBorder="1"/>
    <xf numFmtId="165" fontId="0" fillId="0" borderId="8" xfId="0" applyNumberFormat="1" applyFill="1" applyBorder="1"/>
    <xf numFmtId="165" fontId="3" fillId="7" borderId="10" xfId="0" applyNumberFormat="1" applyFont="1" applyFill="1" applyBorder="1" applyAlignment="1">
      <alignment horizontal="right" vertical="center"/>
    </xf>
    <xf numFmtId="165" fontId="3" fillId="7" borderId="6" xfId="0" applyNumberFormat="1" applyFont="1" applyFill="1" applyBorder="1" applyAlignment="1">
      <alignment horizontal="right" vertical="center"/>
    </xf>
    <xf numFmtId="165" fontId="3" fillId="7" borderId="40" xfId="0" applyNumberFormat="1" applyFont="1" applyFill="1" applyBorder="1" applyAlignment="1">
      <alignment horizontal="right" vertical="center"/>
    </xf>
    <xf numFmtId="165" fontId="3" fillId="7" borderId="12" xfId="0" applyNumberFormat="1" applyFont="1" applyFill="1" applyBorder="1" applyAlignment="1">
      <alignment horizontal="right" vertical="center"/>
    </xf>
    <xf numFmtId="165" fontId="0" fillId="2" borderId="8" xfId="0" applyNumberFormat="1" applyFill="1" applyBorder="1"/>
    <xf numFmtId="0" fontId="0" fillId="10" borderId="47" xfId="0" applyFont="1" applyFill="1" applyBorder="1" applyAlignment="1">
      <alignment horizontal="center" vertical="center"/>
    </xf>
    <xf numFmtId="0" fontId="0" fillId="0" borderId="36" xfId="0" applyBorder="1"/>
    <xf numFmtId="165" fontId="3" fillId="2" borderId="13" xfId="0" applyNumberFormat="1" applyFont="1" applyFill="1" applyBorder="1" applyAlignment="1">
      <alignment horizontal="right" vertical="center"/>
    </xf>
    <xf numFmtId="165" fontId="3" fillId="4" borderId="11" xfId="0" applyNumberFormat="1" applyFont="1" applyFill="1" applyBorder="1" applyAlignment="1">
      <alignment horizontal="right" vertical="center"/>
    </xf>
    <xf numFmtId="165" fontId="3" fillId="2" borderId="53" xfId="0" applyNumberFormat="1" applyFont="1" applyFill="1" applyBorder="1" applyAlignment="1">
      <alignment horizontal="right" vertical="center"/>
    </xf>
    <xf numFmtId="165" fontId="3" fillId="4" borderId="12" xfId="0" applyNumberFormat="1" applyFont="1" applyFill="1" applyBorder="1" applyAlignment="1">
      <alignment horizontal="right" vertical="center"/>
    </xf>
    <xf numFmtId="165" fontId="3" fillId="4" borderId="40" xfId="0" applyNumberFormat="1" applyFont="1" applyFill="1" applyBorder="1" applyAlignment="1">
      <alignment horizontal="right" vertical="center"/>
    </xf>
    <xf numFmtId="0" fontId="0" fillId="10" borderId="47" xfId="0" applyFill="1" applyBorder="1" applyAlignment="1">
      <alignment horizontal="center" vertical="center"/>
    </xf>
    <xf numFmtId="0" fontId="0" fillId="0" borderId="36" xfId="0" applyBorder="1" applyAlignment="1">
      <alignment horizontal="right" vertical="center"/>
    </xf>
    <xf numFmtId="0" fontId="0" fillId="10" borderId="15" xfId="0" applyFill="1" applyBorder="1" applyAlignment="1">
      <alignment horizontal="center" vertical="center"/>
    </xf>
    <xf numFmtId="165" fontId="4" fillId="3" borderId="33" xfId="0" applyNumberFormat="1" applyFont="1" applyFill="1" applyBorder="1" applyAlignment="1">
      <alignment horizontal="right" vertical="center"/>
    </xf>
    <xf numFmtId="0" fontId="0" fillId="10" borderId="15" xfId="0" applyFont="1" applyFill="1" applyBorder="1" applyAlignment="1">
      <alignment horizontal="center" vertical="center"/>
    </xf>
    <xf numFmtId="165" fontId="3" fillId="7" borderId="11" xfId="0" applyNumberFormat="1" applyFont="1" applyFill="1" applyBorder="1" applyAlignment="1">
      <alignment horizontal="right" vertical="center"/>
    </xf>
    <xf numFmtId="0" fontId="0" fillId="10" borderId="34" xfId="0" applyFill="1" applyBorder="1" applyAlignment="1">
      <alignment horizontal="center" vertical="center"/>
    </xf>
    <xf numFmtId="165" fontId="4" fillId="3" borderId="50" xfId="0" applyNumberFormat="1" applyFont="1" applyFill="1" applyBorder="1" applyAlignment="1">
      <alignment horizontal="right" vertical="center"/>
    </xf>
    <xf numFmtId="165" fontId="0" fillId="0" borderId="10" xfId="0" applyNumberFormat="1" applyFill="1" applyBorder="1"/>
    <xf numFmtId="0" fontId="1" fillId="5" borderId="52" xfId="0" applyFont="1" applyFill="1" applyBorder="1"/>
    <xf numFmtId="0" fontId="1" fillId="11" borderId="52" xfId="0" applyFont="1" applyFill="1" applyBorder="1" applyAlignment="1">
      <alignment horizontal="center"/>
    </xf>
    <xf numFmtId="165" fontId="0" fillId="0" borderId="11" xfId="0" applyNumberFormat="1" applyFill="1" applyBorder="1"/>
    <xf numFmtId="0" fontId="1" fillId="5" borderId="52" xfId="0" applyFont="1" applyFill="1" applyBorder="1" applyAlignment="1">
      <alignment horizontal="center"/>
    </xf>
    <xf numFmtId="0" fontId="0" fillId="0" borderId="13" xfId="0" applyFill="1" applyBorder="1"/>
    <xf numFmtId="0" fontId="0" fillId="10" borderId="36" xfId="0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right" vertical="center"/>
    </xf>
    <xf numFmtId="165" fontId="0" fillId="2" borderId="4" xfId="0" applyNumberFormat="1" applyFill="1" applyBorder="1"/>
    <xf numFmtId="165" fontId="0" fillId="2" borderId="7" xfId="0" applyNumberFormat="1" applyFill="1" applyBorder="1"/>
    <xf numFmtId="165" fontId="0" fillId="7" borderId="8" xfId="0" applyNumberFormat="1" applyFill="1" applyBorder="1"/>
    <xf numFmtId="0" fontId="1" fillId="10" borderId="47" xfId="0" applyFont="1" applyFill="1" applyBorder="1" applyAlignment="1">
      <alignment horizontal="center"/>
    </xf>
    <xf numFmtId="0" fontId="0" fillId="5" borderId="44" xfId="0" applyFill="1" applyBorder="1"/>
    <xf numFmtId="0" fontId="0" fillId="5" borderId="49" xfId="0" applyFill="1" applyBorder="1"/>
    <xf numFmtId="0" fontId="0" fillId="12" borderId="52" xfId="0" applyFill="1" applyBorder="1"/>
    <xf numFmtId="0" fontId="0" fillId="11" borderId="52" xfId="0" applyFill="1" applyBorder="1"/>
    <xf numFmtId="0" fontId="1" fillId="10" borderId="34" xfId="0" applyFont="1" applyFill="1" applyBorder="1" applyAlignment="1">
      <alignment horizontal="center"/>
    </xf>
    <xf numFmtId="165" fontId="0" fillId="0" borderId="48" xfId="0" applyNumberFormat="1" applyBorder="1"/>
    <xf numFmtId="165" fontId="0" fillId="0" borderId="35" xfId="0" applyNumberFormat="1" applyBorder="1"/>
    <xf numFmtId="0" fontId="1" fillId="10" borderId="52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12" borderId="3" xfId="0" applyFont="1" applyFill="1" applyBorder="1" applyAlignment="1">
      <alignment horizontal="center"/>
    </xf>
    <xf numFmtId="0" fontId="1" fillId="12" borderId="52" xfId="0" applyFont="1" applyFill="1" applyBorder="1" applyAlignment="1">
      <alignment horizontal="center"/>
    </xf>
    <xf numFmtId="0" fontId="0" fillId="0" borderId="36" xfId="0" applyBorder="1" applyAlignment="1">
      <alignment horizontal="right"/>
    </xf>
    <xf numFmtId="0" fontId="0" fillId="0" borderId="38" xfId="0" applyBorder="1"/>
    <xf numFmtId="165" fontId="3" fillId="4" borderId="6" xfId="0" applyNumberFormat="1" applyFont="1" applyFill="1" applyBorder="1" applyAlignment="1">
      <alignment horizontal="right" vertical="center"/>
    </xf>
    <xf numFmtId="165" fontId="3" fillId="4" borderId="9" xfId="0" applyNumberFormat="1" applyFont="1" applyFill="1" applyBorder="1" applyAlignment="1">
      <alignment horizontal="right" vertical="center"/>
    </xf>
    <xf numFmtId="165" fontId="3" fillId="7" borderId="9" xfId="0" applyNumberFormat="1" applyFont="1" applyFill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0" fontId="0" fillId="0" borderId="38" xfId="0" applyBorder="1" applyAlignment="1">
      <alignment horizontal="right"/>
    </xf>
    <xf numFmtId="165" fontId="0" fillId="2" borderId="13" xfId="0" applyNumberFormat="1" applyFill="1" applyBorder="1"/>
    <xf numFmtId="165" fontId="1" fillId="3" borderId="11" xfId="0" applyNumberFormat="1" applyFont="1" applyFill="1" applyBorder="1"/>
    <xf numFmtId="0" fontId="0" fillId="13" borderId="44" xfId="0" applyFill="1" applyBorder="1" applyAlignment="1">
      <alignment horizontal="center" vertical="center"/>
    </xf>
    <xf numFmtId="0" fontId="0" fillId="13" borderId="56" xfId="0" applyFill="1" applyBorder="1" applyAlignment="1">
      <alignment horizontal="center" vertical="center"/>
    </xf>
    <xf numFmtId="0" fontId="0" fillId="12" borderId="44" xfId="0" applyFill="1" applyBorder="1" applyAlignment="1">
      <alignment horizontal="center" vertical="center"/>
    </xf>
    <xf numFmtId="165" fontId="1" fillId="0" borderId="0" xfId="0" applyNumberFormat="1" applyFont="1" applyFill="1" applyBorder="1"/>
    <xf numFmtId="165" fontId="1" fillId="3" borderId="8" xfId="0" applyNumberFormat="1" applyFont="1" applyFill="1" applyBorder="1"/>
    <xf numFmtId="165" fontId="3" fillId="4" borderId="10" xfId="0" applyNumberFormat="1" applyFont="1" applyFill="1" applyBorder="1" applyAlignment="1">
      <alignment horizontal="right" vertical="center"/>
    </xf>
    <xf numFmtId="165" fontId="4" fillId="0" borderId="34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5" fontId="4" fillId="0" borderId="48" xfId="0" applyNumberFormat="1" applyFont="1" applyFill="1" applyBorder="1" applyAlignment="1">
      <alignment horizontal="right" vertical="center"/>
    </xf>
    <xf numFmtId="165" fontId="4" fillId="0" borderId="6" xfId="0" applyNumberFormat="1" applyFont="1" applyFill="1" applyBorder="1" applyAlignment="1">
      <alignment horizontal="right" vertical="center"/>
    </xf>
    <xf numFmtId="165" fontId="4" fillId="0" borderId="35" xfId="0" applyNumberFormat="1" applyFont="1" applyFill="1" applyBorder="1" applyAlignment="1">
      <alignment horizontal="right" vertical="center"/>
    </xf>
    <xf numFmtId="165" fontId="4" fillId="0" borderId="9" xfId="0" applyNumberFormat="1" applyFont="1" applyFill="1" applyBorder="1" applyAlignment="1">
      <alignment horizontal="right" vertical="center"/>
    </xf>
    <xf numFmtId="165" fontId="3" fillId="0" borderId="34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5" fontId="3" fillId="0" borderId="48" xfId="0" applyNumberFormat="1" applyFont="1" applyFill="1" applyBorder="1" applyAlignment="1">
      <alignment horizontal="right" vertical="center"/>
    </xf>
    <xf numFmtId="165" fontId="3" fillId="0" borderId="28" xfId="0" applyNumberFormat="1" applyFont="1" applyFill="1" applyBorder="1" applyAlignment="1">
      <alignment horizontal="right" vertical="center"/>
    </xf>
    <xf numFmtId="165" fontId="3" fillId="0" borderId="50" xfId="0" applyNumberFormat="1" applyFont="1" applyFill="1" applyBorder="1" applyAlignment="1">
      <alignment horizontal="right" vertical="center"/>
    </xf>
    <xf numFmtId="165" fontId="3" fillId="0" borderId="24" xfId="0" applyNumberFormat="1" applyFont="1" applyFill="1" applyBorder="1" applyAlignment="1">
      <alignment horizontal="right" vertical="center"/>
    </xf>
    <xf numFmtId="165" fontId="0" fillId="7" borderId="6" xfId="0" applyNumberFormat="1" applyFill="1" applyBorder="1"/>
    <xf numFmtId="165" fontId="0" fillId="7" borderId="9" xfId="0" applyNumberFormat="1" applyFill="1" applyBorder="1"/>
    <xf numFmtId="0" fontId="1" fillId="10" borderId="5" xfId="0" applyFont="1" applyFill="1" applyBorder="1" applyAlignment="1">
      <alignment horizontal="center" vertical="center"/>
    </xf>
    <xf numFmtId="165" fontId="1" fillId="13" borderId="6" xfId="0" applyNumberFormat="1" applyFont="1" applyFill="1" applyBorder="1"/>
    <xf numFmtId="165" fontId="1" fillId="13" borderId="9" xfId="0" applyNumberFormat="1" applyFont="1" applyFill="1" applyBorder="1"/>
    <xf numFmtId="165" fontId="1" fillId="13" borderId="5" xfId="0" applyNumberFormat="1" applyFont="1" applyFill="1" applyBorder="1" applyAlignment="1">
      <alignment vertical="center"/>
    </xf>
    <xf numFmtId="165" fontId="1" fillId="13" borderId="5" xfId="0" applyNumberFormat="1" applyFont="1" applyFill="1" applyBorder="1"/>
    <xf numFmtId="165" fontId="0" fillId="2" borderId="10" xfId="0" applyNumberFormat="1" applyFill="1" applyBorder="1"/>
    <xf numFmtId="0" fontId="1" fillId="0" borderId="0" xfId="0" applyFont="1" applyFill="1" applyBorder="1" applyAlignment="1"/>
    <xf numFmtId="0" fontId="0" fillId="12" borderId="57" xfId="0" applyFill="1" applyBorder="1" applyAlignment="1">
      <alignment horizontal="center" vertical="center"/>
    </xf>
    <xf numFmtId="0" fontId="1" fillId="12" borderId="5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165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right" vertical="center"/>
    </xf>
    <xf numFmtId="165" fontId="3" fillId="2" borderId="7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right" vertical="center"/>
    </xf>
    <xf numFmtId="165" fontId="4" fillId="3" borderId="8" xfId="0" applyNumberFormat="1" applyFont="1" applyFill="1" applyBorder="1" applyAlignment="1">
      <alignment horizontal="right" vertical="center"/>
    </xf>
    <xf numFmtId="165" fontId="4" fillId="3" borderId="58" xfId="0" applyNumberFormat="1" applyFont="1" applyFill="1" applyBorder="1" applyAlignment="1">
      <alignment horizontal="right" vertical="center"/>
    </xf>
    <xf numFmtId="165" fontId="3" fillId="4" borderId="5" xfId="0" applyNumberFormat="1" applyFont="1" applyFill="1" applyBorder="1" applyAlignment="1">
      <alignment horizontal="right" vertical="center"/>
    </xf>
    <xf numFmtId="165" fontId="3" fillId="4" borderId="8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10" fillId="3" borderId="35" xfId="0" applyNumberFormat="1" applyFont="1" applyFill="1" applyBorder="1"/>
    <xf numFmtId="165" fontId="10" fillId="4" borderId="38" xfId="0" applyNumberFormat="1" applyFont="1" applyFill="1" applyBorder="1"/>
    <xf numFmtId="165" fontId="10" fillId="3" borderId="8" xfId="0" applyNumberFormat="1" applyFont="1" applyFill="1" applyBorder="1"/>
    <xf numFmtId="165" fontId="10" fillId="2" borderId="8" xfId="0" applyNumberFormat="1" applyFont="1" applyFill="1" applyBorder="1"/>
    <xf numFmtId="165" fontId="10" fillId="2" borderId="7" xfId="0" applyNumberFormat="1" applyFont="1" applyFill="1" applyBorder="1" applyAlignment="1"/>
    <xf numFmtId="165" fontId="10" fillId="2" borderId="39" xfId="0" applyNumberFormat="1" applyFont="1" applyFill="1" applyBorder="1" applyAlignment="1"/>
    <xf numFmtId="165" fontId="10" fillId="2" borderId="7" xfId="0" applyNumberFormat="1" applyFont="1" applyFill="1" applyBorder="1"/>
    <xf numFmtId="165" fontId="10" fillId="4" borderId="9" xfId="0" applyNumberFormat="1" applyFont="1" applyFill="1" applyBorder="1"/>
    <xf numFmtId="165" fontId="10" fillId="2" borderId="8" xfId="0" applyNumberFormat="1" applyFont="1" applyFill="1" applyBorder="1" applyAlignment="1"/>
    <xf numFmtId="0" fontId="10" fillId="0" borderId="38" xfId="0" applyFont="1" applyBorder="1" applyAlignment="1">
      <alignment horizontal="center" vertical="center"/>
    </xf>
    <xf numFmtId="165" fontId="10" fillId="3" borderId="48" xfId="0" applyNumberFormat="1" applyFont="1" applyFill="1" applyBorder="1"/>
    <xf numFmtId="165" fontId="10" fillId="4" borderId="36" xfId="0" applyNumberFormat="1" applyFont="1" applyFill="1" applyBorder="1"/>
    <xf numFmtId="165" fontId="10" fillId="3" borderId="5" xfId="0" applyNumberFormat="1" applyFont="1" applyFill="1" applyBorder="1"/>
    <xf numFmtId="165" fontId="10" fillId="2" borderId="5" xfId="0" applyNumberFormat="1" applyFont="1" applyFill="1" applyBorder="1"/>
    <xf numFmtId="165" fontId="10" fillId="2" borderId="4" xfId="0" applyNumberFormat="1" applyFont="1" applyFill="1" applyBorder="1"/>
    <xf numFmtId="165" fontId="10" fillId="4" borderId="6" xfId="0" applyNumberFormat="1" applyFont="1" applyFill="1" applyBorder="1"/>
    <xf numFmtId="165" fontId="10" fillId="2" borderId="5" xfId="0" applyNumberFormat="1" applyFont="1" applyFill="1" applyBorder="1" applyAlignment="1"/>
    <xf numFmtId="165" fontId="10" fillId="2" borderId="4" xfId="0" applyNumberFormat="1" applyFont="1" applyFill="1" applyBorder="1" applyAlignment="1"/>
    <xf numFmtId="0" fontId="10" fillId="0" borderId="36" xfId="0" applyFont="1" applyBorder="1" applyAlignment="1">
      <alignment horizontal="center" vertical="center"/>
    </xf>
    <xf numFmtId="165" fontId="10" fillId="3" borderId="58" xfId="0" applyNumberFormat="1" applyFont="1" applyFill="1" applyBorder="1"/>
    <xf numFmtId="165" fontId="10" fillId="4" borderId="55" xfId="0" applyNumberFormat="1" applyFont="1" applyFill="1" applyBorder="1"/>
    <xf numFmtId="165" fontId="10" fillId="3" borderId="10" xfId="0" applyNumberFormat="1" applyFont="1" applyFill="1" applyBorder="1"/>
    <xf numFmtId="165" fontId="10" fillId="2" borderId="10" xfId="0" applyNumberFormat="1" applyFont="1" applyFill="1" applyBorder="1"/>
    <xf numFmtId="165" fontId="10" fillId="2" borderId="13" xfId="0" applyNumberFormat="1" applyFont="1" applyFill="1" applyBorder="1"/>
    <xf numFmtId="165" fontId="10" fillId="4" borderId="11" xfId="0" applyNumberFormat="1" applyFont="1" applyFill="1" applyBorder="1"/>
    <xf numFmtId="165" fontId="10" fillId="2" borderId="10" xfId="0" applyNumberFormat="1" applyFont="1" applyFill="1" applyBorder="1" applyAlignment="1"/>
    <xf numFmtId="165" fontId="10" fillId="2" borderId="13" xfId="0" applyNumberFormat="1" applyFont="1" applyFill="1" applyBorder="1" applyAlignment="1"/>
    <xf numFmtId="0" fontId="10" fillId="0" borderId="55" xfId="0" applyFont="1" applyBorder="1" applyAlignment="1">
      <alignment horizontal="center" vertical="center"/>
    </xf>
    <xf numFmtId="165" fontId="10" fillId="3" borderId="34" xfId="0" applyNumberFormat="1" applyFont="1" applyFill="1" applyBorder="1"/>
    <xf numFmtId="165" fontId="10" fillId="4" borderId="47" xfId="0" applyNumberFormat="1" applyFont="1" applyFill="1" applyBorder="1" applyAlignment="1"/>
    <xf numFmtId="165" fontId="10" fillId="3" borderId="2" xfId="0" applyNumberFormat="1" applyFont="1" applyFill="1" applyBorder="1"/>
    <xf numFmtId="165" fontId="10" fillId="2" borderId="2" xfId="0" applyNumberFormat="1" applyFont="1" applyFill="1" applyBorder="1"/>
    <xf numFmtId="165" fontId="10" fillId="2" borderId="1" xfId="0" applyNumberFormat="1" applyFont="1" applyFill="1" applyBorder="1" applyAlignment="1"/>
    <xf numFmtId="165" fontId="10" fillId="4" borderId="3" xfId="0" applyNumberFormat="1" applyFont="1" applyFill="1" applyBorder="1"/>
    <xf numFmtId="165" fontId="10" fillId="2" borderId="2" xfId="0" applyNumberFormat="1" applyFont="1" applyFill="1" applyBorder="1" applyAlignment="1"/>
    <xf numFmtId="0" fontId="10" fillId="0" borderId="47" xfId="0" applyFont="1" applyBorder="1" applyAlignment="1">
      <alignment horizontal="center" vertical="center"/>
    </xf>
    <xf numFmtId="165" fontId="10" fillId="4" borderId="47" xfId="0" applyNumberFormat="1" applyFont="1" applyFill="1" applyBorder="1"/>
    <xf numFmtId="165" fontId="10" fillId="7" borderId="38" xfId="0" applyNumberFormat="1" applyFont="1" applyFill="1" applyBorder="1"/>
    <xf numFmtId="165" fontId="10" fillId="2" borderId="12" xfId="0" applyNumberFormat="1" applyFont="1" applyFill="1" applyBorder="1"/>
    <xf numFmtId="165" fontId="10" fillId="2" borderId="39" xfId="0" applyNumberFormat="1" applyFont="1" applyFill="1" applyBorder="1"/>
    <xf numFmtId="165" fontId="10" fillId="7" borderId="9" xfId="0" applyNumberFormat="1" applyFont="1" applyFill="1" applyBorder="1" applyAlignment="1"/>
    <xf numFmtId="165" fontId="10" fillId="3" borderId="12" xfId="0" applyNumberFormat="1" applyFont="1" applyFill="1" applyBorder="1"/>
    <xf numFmtId="0" fontId="0" fillId="0" borderId="38" xfId="0" applyFont="1" applyFill="1" applyBorder="1" applyAlignment="1">
      <alignment horizontal="center" vertical="center"/>
    </xf>
    <xf numFmtId="165" fontId="10" fillId="7" borderId="36" xfId="0" applyNumberFormat="1" applyFont="1" applyFill="1" applyBorder="1"/>
    <xf numFmtId="165" fontId="10" fillId="2" borderId="37" xfId="0" applyNumberFormat="1" applyFont="1" applyFill="1" applyBorder="1"/>
    <xf numFmtId="165" fontId="10" fillId="7" borderId="6" xfId="0" applyNumberFormat="1" applyFont="1" applyFill="1" applyBorder="1" applyAlignment="1"/>
    <xf numFmtId="0" fontId="0" fillId="0" borderId="36" xfId="0" applyFont="1" applyFill="1" applyBorder="1" applyAlignment="1">
      <alignment horizontal="center" vertical="center"/>
    </xf>
    <xf numFmtId="0" fontId="0" fillId="0" borderId="5" xfId="0" applyFont="1" applyBorder="1"/>
    <xf numFmtId="0" fontId="0" fillId="0" borderId="4" xfId="0" applyFont="1" applyFill="1" applyBorder="1"/>
    <xf numFmtId="165" fontId="10" fillId="7" borderId="47" xfId="0" applyNumberFormat="1" applyFont="1" applyFill="1" applyBorder="1"/>
    <xf numFmtId="165" fontId="10" fillId="2" borderId="16" xfId="0" applyNumberFormat="1" applyFont="1" applyFill="1" applyBorder="1"/>
    <xf numFmtId="165" fontId="10" fillId="7" borderId="3" xfId="0" applyNumberFormat="1" applyFont="1" applyFill="1" applyBorder="1" applyAlignment="1"/>
    <xf numFmtId="0" fontId="0" fillId="0" borderId="47" xfId="0" applyFont="1" applyFill="1" applyBorder="1" applyAlignment="1">
      <alignment horizontal="center" vertical="center"/>
    </xf>
    <xf numFmtId="0" fontId="0" fillId="0" borderId="2" xfId="0" applyFont="1" applyBorder="1"/>
    <xf numFmtId="0" fontId="0" fillId="0" borderId="1" xfId="0" applyFont="1" applyFill="1" applyBorder="1"/>
    <xf numFmtId="0" fontId="0" fillId="0" borderId="38" xfId="0" applyFont="1" applyBorder="1" applyAlignment="1">
      <alignment horizontal="center" vertical="center"/>
    </xf>
    <xf numFmtId="0" fontId="0" fillId="0" borderId="8" xfId="0" applyFont="1" applyBorder="1"/>
    <xf numFmtId="0" fontId="0" fillId="0" borderId="7" xfId="0" applyFont="1" applyFill="1" applyBorder="1"/>
    <xf numFmtId="0" fontId="0" fillId="0" borderId="3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5" fontId="10" fillId="7" borderId="47" xfId="0" applyNumberFormat="1" applyFont="1" applyFill="1" applyBorder="1" applyAlignment="1"/>
    <xf numFmtId="165" fontId="10" fillId="2" borderId="16" xfId="0" applyNumberFormat="1" applyFont="1" applyFill="1" applyBorder="1" applyAlignment="1"/>
    <xf numFmtId="165" fontId="10" fillId="7" borderId="38" xfId="0" applyNumberFormat="1" applyFont="1" applyFill="1" applyBorder="1" applyAlignment="1"/>
    <xf numFmtId="0" fontId="0" fillId="0" borderId="9" xfId="0" applyFont="1" applyBorder="1" applyAlignment="1">
      <alignment horizontal="center" vertical="center"/>
    </xf>
    <xf numFmtId="0" fontId="0" fillId="0" borderId="7" xfId="0" applyFont="1" applyBorder="1"/>
    <xf numFmtId="165" fontId="10" fillId="7" borderId="36" xfId="0" applyNumberFormat="1" applyFont="1" applyFill="1" applyBorder="1" applyAlignment="1"/>
    <xf numFmtId="165" fontId="10" fillId="2" borderId="37" xfId="0" applyNumberFormat="1" applyFont="1" applyFill="1" applyBorder="1" applyAlignment="1"/>
    <xf numFmtId="0" fontId="0" fillId="0" borderId="6" xfId="0" applyFont="1" applyBorder="1" applyAlignment="1">
      <alignment horizontal="center" vertical="center"/>
    </xf>
    <xf numFmtId="0" fontId="0" fillId="0" borderId="4" xfId="0" applyFont="1" applyBorder="1"/>
    <xf numFmtId="165" fontId="0" fillId="3" borderId="35" xfId="0" applyNumberFormat="1" applyFont="1" applyFill="1" applyBorder="1" applyAlignment="1"/>
    <xf numFmtId="165" fontId="0" fillId="7" borderId="9" xfId="0" applyNumberFormat="1" applyFont="1" applyFill="1" applyBorder="1"/>
    <xf numFmtId="165" fontId="0" fillId="3" borderId="8" xfId="0" applyNumberFormat="1" applyFont="1" applyFill="1" applyBorder="1" applyAlignment="1"/>
    <xf numFmtId="165" fontId="0" fillId="2" borderId="8" xfId="0" applyNumberFormat="1" applyFont="1" applyFill="1" applyBorder="1" applyAlignment="1"/>
    <xf numFmtId="165" fontId="0" fillId="2" borderId="7" xfId="0" applyNumberFormat="1" applyFont="1" applyFill="1" applyBorder="1" applyAlignment="1"/>
    <xf numFmtId="165" fontId="0" fillId="7" borderId="8" xfId="0" applyNumberFormat="1" applyFont="1" applyFill="1" applyBorder="1" applyAlignment="1"/>
    <xf numFmtId="165" fontId="0" fillId="3" borderId="48" xfId="0" applyNumberFormat="1" applyFont="1" applyFill="1" applyBorder="1" applyAlignment="1"/>
    <xf numFmtId="165" fontId="0" fillId="7" borderId="6" xfId="0" applyNumberFormat="1" applyFont="1" applyFill="1" applyBorder="1"/>
    <xf numFmtId="165" fontId="0" fillId="3" borderId="5" xfId="0" applyNumberFormat="1" applyFont="1" applyFill="1" applyBorder="1" applyAlignment="1"/>
    <xf numFmtId="165" fontId="0" fillId="2" borderId="5" xfId="0" applyNumberFormat="1" applyFont="1" applyFill="1" applyBorder="1" applyAlignment="1"/>
    <xf numFmtId="165" fontId="0" fillId="2" borderId="4" xfId="0" applyNumberFormat="1" applyFont="1" applyFill="1" applyBorder="1" applyAlignment="1"/>
    <xf numFmtId="165" fontId="0" fillId="7" borderId="5" xfId="0" applyNumberFormat="1" applyFont="1" applyFill="1" applyBorder="1" applyAlignment="1"/>
    <xf numFmtId="0" fontId="0" fillId="0" borderId="6" xfId="0" applyFont="1" applyBorder="1"/>
    <xf numFmtId="0" fontId="0" fillId="0" borderId="0" xfId="0" applyFont="1"/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0" xfId="0" applyFont="1"/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5" borderId="18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/>
    <xf numFmtId="0" fontId="16" fillId="0" borderId="0" xfId="0" applyFont="1" applyFill="1" applyBorder="1" applyAlignment="1">
      <alignment horizontal="center" vertical="center"/>
    </xf>
    <xf numFmtId="165" fontId="3" fillId="3" borderId="35" xfId="0" applyNumberFormat="1" applyFont="1" applyFill="1" applyBorder="1"/>
    <xf numFmtId="165" fontId="3" fillId="7" borderId="38" xfId="0" applyNumberFormat="1" applyFont="1" applyFill="1" applyBorder="1" applyAlignment="1"/>
    <xf numFmtId="165" fontId="3" fillId="7" borderId="8" xfId="0" applyNumberFormat="1" applyFont="1" applyFill="1" applyBorder="1"/>
    <xf numFmtId="165" fontId="3" fillId="3" borderId="8" xfId="0" applyNumberFormat="1" applyFont="1" applyFill="1" applyBorder="1" applyAlignment="1"/>
    <xf numFmtId="165" fontId="3" fillId="2" borderId="8" xfId="0" applyNumberFormat="1" applyFont="1" applyFill="1" applyBorder="1" applyAlignment="1"/>
    <xf numFmtId="165" fontId="3" fillId="2" borderId="7" xfId="0" applyNumberFormat="1" applyFont="1" applyFill="1" applyBorder="1" applyAlignment="1"/>
    <xf numFmtId="165" fontId="3" fillId="7" borderId="9" xfId="0" applyNumberFormat="1" applyFont="1" applyFill="1" applyBorder="1" applyAlignment="1"/>
    <xf numFmtId="165" fontId="10" fillId="7" borderId="8" xfId="0" applyNumberFormat="1" applyFont="1" applyFill="1" applyBorder="1"/>
    <xf numFmtId="165" fontId="3" fillId="3" borderId="48" xfId="0" applyNumberFormat="1" applyFont="1" applyFill="1" applyBorder="1"/>
    <xf numFmtId="165" fontId="3" fillId="7" borderId="36" xfId="0" applyNumberFormat="1" applyFont="1" applyFill="1" applyBorder="1" applyAlignment="1"/>
    <xf numFmtId="165" fontId="3" fillId="7" borderId="5" xfId="0" applyNumberFormat="1" applyFont="1" applyFill="1" applyBorder="1"/>
    <xf numFmtId="165" fontId="3" fillId="3" borderId="5" xfId="0" applyNumberFormat="1" applyFont="1" applyFill="1" applyBorder="1" applyAlignment="1"/>
    <xf numFmtId="165" fontId="3" fillId="2" borderId="5" xfId="0" applyNumberFormat="1" applyFont="1" applyFill="1" applyBorder="1" applyAlignment="1"/>
    <xf numFmtId="165" fontId="3" fillId="2" borderId="4" xfId="0" applyNumberFormat="1" applyFont="1" applyFill="1" applyBorder="1" applyAlignment="1"/>
    <xf numFmtId="165" fontId="3" fillId="7" borderId="6" xfId="0" applyNumberFormat="1" applyFont="1" applyFill="1" applyBorder="1" applyAlignment="1"/>
    <xf numFmtId="165" fontId="10" fillId="7" borderId="5" xfId="0" applyNumberFormat="1" applyFont="1" applyFill="1" applyBorder="1"/>
    <xf numFmtId="0" fontId="0" fillId="5" borderId="52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5" borderId="43" xfId="0" applyFont="1" applyFill="1" applyBorder="1" applyAlignment="1">
      <alignment horizont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4" borderId="6" xfId="0" applyNumberFormat="1" applyFont="1" applyFill="1" applyBorder="1" applyAlignment="1">
      <alignment horizontal="center" vertical="center"/>
    </xf>
    <xf numFmtId="10" fontId="0" fillId="0" borderId="4" xfId="0" applyNumberFormat="1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4" borderId="9" xfId="0" applyNumberFormat="1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/>
    </xf>
    <xf numFmtId="0" fontId="0" fillId="10" borderId="48" xfId="0" applyFont="1" applyFill="1" applyBorder="1" applyAlignment="1">
      <alignment horizontal="center" vertical="center"/>
    </xf>
    <xf numFmtId="0" fontId="0" fillId="10" borderId="48" xfId="0" applyFont="1" applyFill="1" applyBorder="1" applyAlignment="1">
      <alignment horizontal="center" vertical="center" wrapText="1"/>
    </xf>
    <xf numFmtId="0" fontId="10" fillId="10" borderId="48" xfId="0" applyFont="1" applyFill="1" applyBorder="1" applyAlignment="1">
      <alignment horizontal="center" vertical="center" wrapText="1"/>
    </xf>
    <xf numFmtId="0" fontId="0" fillId="10" borderId="35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8" borderId="14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horizontal="center" vertical="center"/>
    </xf>
    <xf numFmtId="8" fontId="0" fillId="2" borderId="34" xfId="0" applyNumberFormat="1" applyFont="1" applyFill="1" applyBorder="1" applyAlignment="1">
      <alignment horizontal="center" vertical="center"/>
    </xf>
    <xf numFmtId="8" fontId="0" fillId="2" borderId="35" xfId="0" applyNumberFormat="1" applyFont="1" applyFill="1" applyBorder="1" applyAlignment="1">
      <alignment horizontal="center" vertical="center"/>
    </xf>
    <xf numFmtId="165" fontId="0" fillId="4" borderId="34" xfId="0" applyNumberFormat="1" applyFont="1" applyFill="1" applyBorder="1" applyAlignment="1">
      <alignment horizontal="center" vertical="center"/>
    </xf>
    <xf numFmtId="165" fontId="0" fillId="4" borderId="35" xfId="0" applyNumberFormat="1" applyFont="1" applyFill="1" applyBorder="1" applyAlignment="1">
      <alignment horizontal="center" vertical="center"/>
    </xf>
    <xf numFmtId="0" fontId="0" fillId="10" borderId="7" xfId="0" applyFont="1" applyFill="1" applyBorder="1"/>
    <xf numFmtId="0" fontId="0" fillId="10" borderId="8" xfId="0" applyFont="1" applyFill="1" applyBorder="1"/>
    <xf numFmtId="0" fontId="0" fillId="10" borderId="38" xfId="0" applyFont="1" applyFill="1" applyBorder="1"/>
    <xf numFmtId="0" fontId="0" fillId="0" borderId="20" xfId="0" applyFont="1" applyBorder="1" applyAlignment="1">
      <alignment vertical="center" wrapText="1"/>
    </xf>
    <xf numFmtId="165" fontId="0" fillId="0" borderId="0" xfId="0" applyNumberFormat="1" applyFont="1" applyBorder="1"/>
    <xf numFmtId="0" fontId="0" fillId="0" borderId="0" xfId="0" applyFont="1" applyFill="1"/>
    <xf numFmtId="165" fontId="0" fillId="0" borderId="0" xfId="0" applyNumberFormat="1" applyFont="1" applyBorder="1" applyAlignment="1">
      <alignment horizontal="right"/>
    </xf>
    <xf numFmtId="165" fontId="0" fillId="4" borderId="48" xfId="0" applyNumberFormat="1" applyFont="1" applyFill="1" applyBorder="1"/>
    <xf numFmtId="165" fontId="0" fillId="4" borderId="35" xfId="0" applyNumberFormat="1" applyFont="1" applyFill="1" applyBorder="1"/>
    <xf numFmtId="165" fontId="0" fillId="7" borderId="48" xfId="0" applyNumberFormat="1" applyFont="1" applyFill="1" applyBorder="1" applyAlignment="1">
      <alignment horizontal="right"/>
    </xf>
    <xf numFmtId="165" fontId="0" fillId="7" borderId="35" xfId="0" applyNumberFormat="1" applyFont="1" applyFill="1" applyBorder="1" applyAlignment="1">
      <alignment horizontal="right"/>
    </xf>
    <xf numFmtId="0" fontId="0" fillId="5" borderId="46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165" fontId="0" fillId="4" borderId="48" xfId="0" applyNumberFormat="1" applyFont="1" applyFill="1" applyBorder="1" applyAlignment="1">
      <alignment horizontal="right"/>
    </xf>
    <xf numFmtId="165" fontId="0" fillId="4" borderId="35" xfId="0" applyNumberFormat="1" applyFont="1" applyFill="1" applyBorder="1" applyAlignment="1">
      <alignment horizontal="right"/>
    </xf>
    <xf numFmtId="165" fontId="0" fillId="10" borderId="34" xfId="0" applyNumberFormat="1" applyFont="1" applyFill="1" applyBorder="1" applyAlignment="1">
      <alignment horizontal="center"/>
    </xf>
    <xf numFmtId="0" fontId="0" fillId="0" borderId="21" xfId="0" applyFont="1" applyBorder="1"/>
    <xf numFmtId="165" fontId="0" fillId="4" borderId="28" xfId="0" applyNumberFormat="1" applyFont="1" applyFill="1" applyBorder="1"/>
    <xf numFmtId="165" fontId="0" fillId="4" borderId="32" xfId="0" applyNumberFormat="1" applyFont="1" applyFill="1" applyBorder="1"/>
    <xf numFmtId="0" fontId="10" fillId="0" borderId="20" xfId="0" applyFont="1" applyFill="1" applyBorder="1" applyAlignment="1">
      <alignment horizontal="left"/>
    </xf>
    <xf numFmtId="0" fontId="0" fillId="0" borderId="21" xfId="0" applyFont="1" applyFill="1" applyBorder="1"/>
    <xf numFmtId="0" fontId="0" fillId="11" borderId="14" xfId="0" applyFont="1" applyFill="1" applyBorder="1" applyAlignment="1">
      <alignment horizontal="center"/>
    </xf>
    <xf numFmtId="165" fontId="0" fillId="7" borderId="26" xfId="0" applyNumberFormat="1" applyFont="1" applyFill="1" applyBorder="1" applyAlignment="1">
      <alignment horizontal="right"/>
    </xf>
    <xf numFmtId="165" fontId="0" fillId="7" borderId="30" xfId="0" applyNumberFormat="1" applyFont="1" applyFill="1" applyBorder="1" applyAlignment="1">
      <alignment horizontal="right"/>
    </xf>
    <xf numFmtId="0" fontId="0" fillId="5" borderId="34" xfId="0" applyFont="1" applyFill="1" applyBorder="1" applyAlignment="1">
      <alignment horizontal="center"/>
    </xf>
    <xf numFmtId="165" fontId="0" fillId="10" borderId="48" xfId="0" applyNumberFormat="1" applyFont="1" applyFill="1" applyBorder="1" applyAlignment="1">
      <alignment horizontal="center" vertical="center"/>
    </xf>
    <xf numFmtId="165" fontId="0" fillId="4" borderId="48" xfId="0" applyNumberFormat="1" applyFont="1" applyFill="1" applyBorder="1" applyAlignment="1">
      <alignment horizontal="right" vertical="center"/>
    </xf>
    <xf numFmtId="165" fontId="0" fillId="10" borderId="34" xfId="0" applyNumberFormat="1" applyFont="1" applyFill="1" applyBorder="1" applyAlignment="1">
      <alignment horizontal="center" vertical="center"/>
    </xf>
    <xf numFmtId="0" fontId="0" fillId="10" borderId="26" xfId="0" applyFont="1" applyFill="1" applyBorder="1" applyAlignment="1">
      <alignment horizontal="center"/>
    </xf>
    <xf numFmtId="0" fontId="0" fillId="10" borderId="48" xfId="0" applyFont="1" applyFill="1" applyBorder="1" applyAlignment="1">
      <alignment horizontal="center"/>
    </xf>
    <xf numFmtId="0" fontId="0" fillId="0" borderId="48" xfId="0" applyFont="1" applyBorder="1"/>
    <xf numFmtId="0" fontId="0" fillId="11" borderId="46" xfId="0" applyFill="1" applyBorder="1" applyAlignment="1">
      <alignment horizontal="center"/>
    </xf>
    <xf numFmtId="165" fontId="0" fillId="4" borderId="4" xfId="0" applyNumberFormat="1" applyFont="1" applyFill="1" applyBorder="1" applyAlignment="1"/>
    <xf numFmtId="165" fontId="0" fillId="4" borderId="6" xfId="0" applyNumberFormat="1" applyFont="1" applyFill="1" applyBorder="1" applyAlignment="1"/>
    <xf numFmtId="165" fontId="0" fillId="4" borderId="7" xfId="0" applyNumberFormat="1" applyFont="1" applyFill="1" applyBorder="1" applyAlignment="1"/>
    <xf numFmtId="165" fontId="0" fillId="4" borderId="9" xfId="0" applyNumberFormat="1" applyFont="1" applyFill="1" applyBorder="1" applyAlignment="1"/>
    <xf numFmtId="0" fontId="0" fillId="11" borderId="52" xfId="0" applyFont="1" applyFill="1" applyBorder="1" applyAlignment="1">
      <alignment horizontal="center" wrapText="1"/>
    </xf>
    <xf numFmtId="165" fontId="0" fillId="4" borderId="28" xfId="0" applyNumberFormat="1" applyFont="1" applyFill="1" applyBorder="1" applyAlignment="1"/>
    <xf numFmtId="165" fontId="0" fillId="4" borderId="32" xfId="0" applyNumberFormat="1" applyFont="1" applyFill="1" applyBorder="1" applyAlignment="1"/>
    <xf numFmtId="165" fontId="0" fillId="4" borderId="48" xfId="0" applyNumberFormat="1" applyFont="1" applyFill="1" applyBorder="1" applyAlignment="1"/>
    <xf numFmtId="165" fontId="0" fillId="4" borderId="35" xfId="0" applyNumberFormat="1" applyFont="1" applyFill="1" applyBorder="1" applyAlignment="1"/>
    <xf numFmtId="0" fontId="0" fillId="11" borderId="46" xfId="0" applyFont="1" applyFill="1" applyBorder="1" applyAlignment="1">
      <alignment horizontal="center" wrapText="1"/>
    </xf>
    <xf numFmtId="49" fontId="0" fillId="0" borderId="0" xfId="0" applyNumberFormat="1" applyFont="1"/>
    <xf numFmtId="165" fontId="0" fillId="4" borderId="14" xfId="0" applyNumberFormat="1" applyFont="1" applyFill="1" applyBorder="1" applyAlignment="1"/>
    <xf numFmtId="165" fontId="0" fillId="4" borderId="34" xfId="0" applyNumberFormat="1" applyFont="1" applyFill="1" applyBorder="1" applyAlignment="1"/>
    <xf numFmtId="165" fontId="0" fillId="4" borderId="26" xfId="0" applyNumberFormat="1" applyFont="1" applyFill="1" applyBorder="1" applyAlignment="1"/>
    <xf numFmtId="165" fontId="0" fillId="4" borderId="30" xfId="0" applyNumberFormat="1" applyFont="1" applyFill="1" applyBorder="1" applyAlignment="1"/>
    <xf numFmtId="0" fontId="0" fillId="0" borderId="0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vertical="center"/>
    </xf>
    <xf numFmtId="165" fontId="0" fillId="4" borderId="51" xfId="0" applyNumberFormat="1" applyFont="1" applyFill="1" applyBorder="1" applyAlignment="1"/>
    <xf numFmtId="165" fontId="0" fillId="4" borderId="33" xfId="0" applyNumberFormat="1" applyFont="1" applyFill="1" applyBorder="1" applyAlignment="1"/>
    <xf numFmtId="165" fontId="0" fillId="4" borderId="58" xfId="0" applyNumberFormat="1" applyFont="1" applyFill="1" applyBorder="1" applyAlignment="1"/>
    <xf numFmtId="165" fontId="0" fillId="4" borderId="60" xfId="0" applyNumberFormat="1" applyFont="1" applyFill="1" applyBorder="1" applyAlignment="1"/>
    <xf numFmtId="49" fontId="10" fillId="4" borderId="5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165" fontId="10" fillId="3" borderId="6" xfId="0" applyNumberFormat="1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49" fontId="10" fillId="4" borderId="8" xfId="0" applyNumberFormat="1" applyFont="1" applyFill="1" applyBorder="1" applyAlignment="1">
      <alignment horizontal="center"/>
    </xf>
    <xf numFmtId="165" fontId="10" fillId="3" borderId="48" xfId="0" applyNumberFormat="1" applyFont="1" applyFill="1" applyBorder="1" applyAlignment="1">
      <alignment horizontal="center"/>
    </xf>
    <xf numFmtId="165" fontId="10" fillId="3" borderId="35" xfId="0" applyNumberFormat="1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center"/>
    </xf>
    <xf numFmtId="165" fontId="10" fillId="3" borderId="36" xfId="0" applyNumberFormat="1" applyFont="1" applyFill="1" applyBorder="1" applyAlignment="1"/>
    <xf numFmtId="165" fontId="10" fillId="2" borderId="8" xfId="0" applyNumberFormat="1" applyFont="1" applyFill="1" applyBorder="1" applyAlignment="1">
      <alignment horizontal="center"/>
    </xf>
    <xf numFmtId="165" fontId="10" fillId="3" borderId="38" xfId="0" applyNumberFormat="1" applyFont="1" applyFill="1" applyBorder="1" applyAlignment="1"/>
    <xf numFmtId="165" fontId="10" fillId="3" borderId="48" xfId="0" applyNumberFormat="1" applyFont="1" applyFill="1" applyBorder="1" applyAlignment="1"/>
    <xf numFmtId="165" fontId="10" fillId="3" borderId="35" xfId="0" applyNumberFormat="1" applyFont="1" applyFill="1" applyBorder="1" applyAlignment="1"/>
    <xf numFmtId="165" fontId="10" fillId="3" borderId="34" xfId="0" applyNumberFormat="1" applyFont="1" applyFill="1" applyBorder="1" applyAlignment="1"/>
    <xf numFmtId="165" fontId="10" fillId="4" borderId="5" xfId="0" applyNumberFormat="1" applyFont="1" applyFill="1" applyBorder="1" applyAlignment="1"/>
    <xf numFmtId="165" fontId="10" fillId="3" borderId="6" xfId="0" applyNumberFormat="1" applyFont="1" applyFill="1" applyBorder="1" applyAlignment="1"/>
    <xf numFmtId="165" fontId="10" fillId="4" borderId="8" xfId="0" applyNumberFormat="1" applyFont="1" applyFill="1" applyBorder="1" applyAlignment="1"/>
    <xf numFmtId="165" fontId="10" fillId="3" borderId="9" xfId="0" applyNumberFormat="1" applyFont="1" applyFill="1" applyBorder="1" applyAlignment="1"/>
    <xf numFmtId="49" fontId="10" fillId="4" borderId="5" xfId="0" applyNumberFormat="1" applyFont="1" applyFill="1" applyBorder="1" applyAlignment="1">
      <alignment horizontal="center" vertical="center"/>
    </xf>
    <xf numFmtId="49" fontId="10" fillId="4" borderId="8" xfId="0" applyNumberFormat="1" applyFont="1" applyFill="1" applyBorder="1" applyAlignment="1">
      <alignment horizontal="center" vertical="center"/>
    </xf>
    <xf numFmtId="165" fontId="0" fillId="2" borderId="5" xfId="0" applyNumberFormat="1" applyFill="1" applyBorder="1" applyAlignment="1"/>
    <xf numFmtId="165" fontId="0" fillId="4" borderId="5" xfId="0" applyNumberFormat="1" applyFill="1" applyBorder="1" applyAlignment="1">
      <alignment horizontal="center"/>
    </xf>
    <xf numFmtId="165" fontId="10" fillId="4" borderId="5" xfId="0" applyNumberFormat="1" applyFont="1" applyFill="1" applyBorder="1" applyAlignment="1">
      <alignment horizontal="center"/>
    </xf>
    <xf numFmtId="165" fontId="10" fillId="4" borderId="8" xfId="0" applyNumberFormat="1" applyFont="1" applyFill="1" applyBorder="1" applyAlignment="1">
      <alignment horizontal="center"/>
    </xf>
    <xf numFmtId="165" fontId="10" fillId="3" borderId="36" xfId="0" applyNumberFormat="1" applyFont="1" applyFill="1" applyBorder="1" applyAlignment="1">
      <alignment horizontal="center"/>
    </xf>
    <xf numFmtId="165" fontId="0" fillId="2" borderId="4" xfId="0" applyNumberFormat="1" applyFill="1" applyBorder="1" applyAlignment="1"/>
    <xf numFmtId="165" fontId="0" fillId="3" borderId="6" xfId="0" applyNumberFormat="1" applyFill="1" applyBorder="1"/>
    <xf numFmtId="165" fontId="0" fillId="2" borderId="7" xfId="0" applyNumberFormat="1" applyFill="1" applyBorder="1" applyAlignment="1"/>
    <xf numFmtId="165" fontId="0" fillId="2" borderId="8" xfId="0" applyNumberFormat="1" applyFill="1" applyBorder="1" applyAlignment="1"/>
    <xf numFmtId="165" fontId="0" fillId="4" borderId="8" xfId="0" applyNumberFormat="1" applyFill="1" applyBorder="1" applyAlignment="1">
      <alignment horizontal="center"/>
    </xf>
    <xf numFmtId="165" fontId="0" fillId="3" borderId="9" xfId="0" applyNumberFormat="1" applyFill="1" applyBorder="1"/>
    <xf numFmtId="165" fontId="0" fillId="3" borderId="48" xfId="0" applyNumberFormat="1" applyFill="1" applyBorder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right" vertical="center"/>
    </xf>
    <xf numFmtId="165" fontId="4" fillId="3" borderId="69" xfId="0" applyNumberFormat="1" applyFont="1" applyFill="1" applyBorder="1" applyAlignment="1">
      <alignment horizontal="right" vertical="center"/>
    </xf>
    <xf numFmtId="0" fontId="15" fillId="0" borderId="0" xfId="6" applyFont="1" applyFill="1" applyAlignment="1">
      <alignment horizontal="center"/>
    </xf>
    <xf numFmtId="0" fontId="0" fillId="0" borderId="14" xfId="0" applyBorder="1"/>
    <xf numFmtId="8" fontId="0" fillId="0" borderId="34" xfId="0" applyNumberFormat="1" applyBorder="1"/>
    <xf numFmtId="8" fontId="0" fillId="0" borderId="48" xfId="0" applyNumberFormat="1" applyBorder="1"/>
    <xf numFmtId="6" fontId="0" fillId="0" borderId="48" xfId="0" applyNumberFormat="1" applyBorder="1"/>
    <xf numFmtId="8" fontId="0" fillId="0" borderId="35" xfId="0" applyNumberFormat="1" applyBorder="1"/>
    <xf numFmtId="165" fontId="0" fillId="4" borderId="39" xfId="0" applyNumberFormat="1" applyFont="1" applyFill="1" applyBorder="1" applyAlignment="1">
      <alignment horizontal="right"/>
    </xf>
    <xf numFmtId="165" fontId="0" fillId="4" borderId="9" xfId="0" applyNumberFormat="1" applyFont="1" applyFill="1" applyBorder="1" applyAlignment="1">
      <alignment horizontal="right"/>
    </xf>
    <xf numFmtId="0" fontId="0" fillId="5" borderId="17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0" fillId="11" borderId="18" xfId="0" applyFill="1" applyBorder="1" applyAlignment="1">
      <alignment horizontal="center"/>
    </xf>
    <xf numFmtId="165" fontId="0" fillId="4" borderId="4" xfId="0" applyNumberFormat="1" applyFont="1" applyFill="1" applyBorder="1" applyAlignment="1">
      <alignment horizontal="right"/>
    </xf>
    <xf numFmtId="165" fontId="0" fillId="4" borderId="6" xfId="0" applyNumberFormat="1" applyFont="1" applyFill="1" applyBorder="1" applyAlignment="1">
      <alignment horizontal="right"/>
    </xf>
    <xf numFmtId="165" fontId="0" fillId="4" borderId="37" xfId="0" applyNumberFormat="1" applyFont="1" applyFill="1" applyBorder="1" applyAlignment="1">
      <alignment horizontal="right"/>
    </xf>
    <xf numFmtId="165" fontId="0" fillId="7" borderId="4" xfId="0" applyNumberFormat="1" applyFont="1" applyFill="1" applyBorder="1" applyAlignment="1">
      <alignment horizontal="center"/>
    </xf>
    <xf numFmtId="165" fontId="0" fillId="7" borderId="6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5" borderId="18" xfId="0" applyFill="1" applyBorder="1" applyAlignment="1">
      <alignment horizontal="center"/>
    </xf>
    <xf numFmtId="165" fontId="0" fillId="7" borderId="36" xfId="0" applyNumberFormat="1" applyFont="1" applyFill="1" applyBorder="1" applyAlignment="1">
      <alignment horizontal="center"/>
    </xf>
    <xf numFmtId="0" fontId="0" fillId="10" borderId="16" xfId="0" applyFont="1" applyFill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47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0" fillId="10" borderId="36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6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0" fontId="0" fillId="10" borderId="6" xfId="0" applyFont="1" applyFill="1" applyBorder="1" applyAlignment="1">
      <alignment horizontal="center" vertical="center"/>
    </xf>
    <xf numFmtId="0" fontId="0" fillId="10" borderId="34" xfId="0" applyFont="1" applyFill="1" applyBorder="1" applyAlignment="1">
      <alignment horizontal="center" vertical="center" wrapText="1"/>
    </xf>
    <xf numFmtId="0" fontId="0" fillId="10" borderId="48" xfId="0" applyFont="1" applyFill="1" applyBorder="1" applyAlignment="1">
      <alignment horizontal="center" vertical="center" wrapText="1"/>
    </xf>
    <xf numFmtId="0" fontId="0" fillId="10" borderId="47" xfId="0" applyFont="1" applyFill="1" applyBorder="1" applyAlignment="1">
      <alignment horizontal="center" vertical="center"/>
    </xf>
    <xf numFmtId="0" fontId="0" fillId="10" borderId="36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165" fontId="10" fillId="2" borderId="4" xfId="0" applyNumberFormat="1" applyFont="1" applyFill="1" applyBorder="1" applyAlignment="1">
      <alignment horizontal="right"/>
    </xf>
    <xf numFmtId="165" fontId="10" fillId="2" borderId="6" xfId="0" applyNumberFormat="1" applyFont="1" applyFill="1" applyBorder="1" applyAlignment="1">
      <alignment horizontal="right"/>
    </xf>
    <xf numFmtId="0" fontId="0" fillId="11" borderId="19" xfId="0" applyFill="1" applyBorder="1" applyAlignment="1">
      <alignment horizontal="center"/>
    </xf>
    <xf numFmtId="0" fontId="10" fillId="0" borderId="4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0" fillId="10" borderId="1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left"/>
    </xf>
    <xf numFmtId="0" fontId="0" fillId="10" borderId="25" xfId="0" applyFont="1" applyFill="1" applyBorder="1" applyAlignment="1">
      <alignment horizontal="left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0" fillId="11" borderId="41" xfId="0" applyFill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0" fillId="10" borderId="34" xfId="0" applyFont="1" applyFill="1" applyBorder="1" applyAlignment="1">
      <alignment horizontal="center" vertical="center"/>
    </xf>
    <xf numFmtId="0" fontId="0" fillId="10" borderId="48" xfId="0" applyFont="1" applyFill="1" applyBorder="1" applyAlignment="1">
      <alignment horizontal="center" vertical="center"/>
    </xf>
    <xf numFmtId="165" fontId="10" fillId="7" borderId="7" xfId="0" applyNumberFormat="1" applyFont="1" applyFill="1" applyBorder="1" applyAlignment="1">
      <alignment horizontal="right"/>
    </xf>
    <xf numFmtId="165" fontId="10" fillId="7" borderId="38" xfId="0" applyNumberFormat="1" applyFont="1" applyFill="1" applyBorder="1" applyAlignment="1">
      <alignment horizontal="right"/>
    </xf>
    <xf numFmtId="0" fontId="10" fillId="5" borderId="17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11" borderId="17" xfId="0" applyFont="1" applyFill="1" applyBorder="1" applyAlignment="1">
      <alignment horizontal="center"/>
    </xf>
    <xf numFmtId="0" fontId="10" fillId="11" borderId="18" xfId="0" applyFont="1" applyFill="1" applyBorder="1" applyAlignment="1">
      <alignment horizontal="center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165" fontId="10" fillId="7" borderId="4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0" fontId="0" fillId="5" borderId="17" xfId="0" applyFont="1" applyFill="1" applyBorder="1" applyAlignment="1">
      <alignment horizontal="center"/>
    </xf>
    <xf numFmtId="0" fontId="0" fillId="5" borderId="18" xfId="0" applyFont="1" applyFill="1" applyBorder="1" applyAlignment="1">
      <alignment horizontal="center"/>
    </xf>
    <xf numFmtId="0" fontId="0" fillId="11" borderId="17" xfId="0" applyFont="1" applyFill="1" applyBorder="1" applyAlignment="1">
      <alignment horizontal="center"/>
    </xf>
    <xf numFmtId="0" fontId="0" fillId="11" borderId="18" xfId="0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right"/>
    </xf>
    <xf numFmtId="0" fontId="0" fillId="10" borderId="16" xfId="0" applyFont="1" applyFill="1" applyBorder="1" applyAlignment="1">
      <alignment horizontal="center" vertical="center" wrapText="1"/>
    </xf>
    <xf numFmtId="165" fontId="0" fillId="7" borderId="7" xfId="0" applyNumberFormat="1" applyFont="1" applyFill="1" applyBorder="1" applyAlignment="1">
      <alignment horizontal="center"/>
    </xf>
    <xf numFmtId="165" fontId="0" fillId="7" borderId="38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10" fillId="0" borderId="1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165" fontId="0" fillId="7" borderId="9" xfId="0" applyNumberFormat="1" applyFont="1" applyFill="1" applyBorder="1" applyAlignment="1">
      <alignment horizontal="center"/>
    </xf>
    <xf numFmtId="0" fontId="15" fillId="9" borderId="0" xfId="6" applyFont="1" applyAlignment="1">
      <alignment horizontal="center"/>
    </xf>
    <xf numFmtId="0" fontId="0" fillId="10" borderId="1" xfId="0" applyFont="1" applyFill="1" applyBorder="1" applyAlignment="1">
      <alignment horizontal="left" vertical="center" wrapText="1"/>
    </xf>
    <xf numFmtId="0" fontId="0" fillId="10" borderId="2" xfId="0" applyFont="1" applyFill="1" applyBorder="1" applyAlignment="1">
      <alignment horizontal="left" vertical="center" wrapText="1"/>
    </xf>
    <xf numFmtId="0" fontId="0" fillId="10" borderId="47" xfId="0" applyFont="1" applyFill="1" applyBorder="1" applyAlignment="1">
      <alignment horizontal="left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5" fontId="10" fillId="2" borderId="7" xfId="0" applyNumberFormat="1" applyFont="1" applyFill="1" applyBorder="1" applyAlignment="1">
      <alignment horizontal="right"/>
    </xf>
    <xf numFmtId="165" fontId="10" fillId="2" borderId="9" xfId="0" applyNumberFormat="1" applyFont="1" applyFill="1" applyBorder="1" applyAlignment="1">
      <alignment horizontal="right"/>
    </xf>
    <xf numFmtId="0" fontId="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10" borderId="17" xfId="0" applyFont="1" applyFill="1" applyBorder="1" applyAlignment="1">
      <alignment horizontal="center" vertical="center" wrapText="1"/>
    </xf>
    <xf numFmtId="0" fontId="0" fillId="10" borderId="19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/>
    </xf>
    <xf numFmtId="0" fontId="10" fillId="10" borderId="2" xfId="0" applyFont="1" applyFill="1" applyBorder="1" applyAlignment="1">
      <alignment horizontal="center"/>
    </xf>
    <xf numFmtId="0" fontId="10" fillId="10" borderId="47" xfId="0" applyFont="1" applyFill="1" applyBorder="1" applyAlignment="1">
      <alignment horizontal="center"/>
    </xf>
    <xf numFmtId="0" fontId="10" fillId="0" borderId="36" xfId="0" applyFont="1" applyBorder="1" applyAlignment="1">
      <alignment horizontal="left"/>
    </xf>
    <xf numFmtId="0" fontId="10" fillId="10" borderId="3" xfId="0" applyFont="1" applyFill="1" applyBorder="1" applyAlignment="1">
      <alignment horizontal="center"/>
    </xf>
    <xf numFmtId="0" fontId="10" fillId="0" borderId="38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3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10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10" fillId="0" borderId="8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left"/>
    </xf>
    <xf numFmtId="49" fontId="0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165" fontId="0" fillId="0" borderId="27" xfId="0" applyNumberFormat="1" applyFont="1" applyFill="1" applyBorder="1" applyAlignment="1">
      <alignment horizontal="center"/>
    </xf>
    <xf numFmtId="165" fontId="0" fillId="0" borderId="28" xfId="0" applyNumberFormat="1" applyFont="1" applyFill="1" applyBorder="1" applyAlignment="1">
      <alignment horizontal="center"/>
    </xf>
    <xf numFmtId="0" fontId="0" fillId="10" borderId="15" xfId="0" applyFont="1" applyFill="1" applyBorder="1" applyAlignment="1">
      <alignment horizontal="center" vertical="center" wrapText="1"/>
    </xf>
    <xf numFmtId="0" fontId="0" fillId="10" borderId="28" xfId="0" applyFont="1" applyFill="1" applyBorder="1" applyAlignment="1">
      <alignment horizontal="center" vertical="center" wrapText="1"/>
    </xf>
    <xf numFmtId="0" fontId="0" fillId="10" borderId="14" xfId="0" applyFont="1" applyFill="1" applyBorder="1" applyAlignment="1">
      <alignment horizontal="center" vertical="center" wrapText="1"/>
    </xf>
    <xf numFmtId="0" fontId="0" fillId="10" borderId="26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165" fontId="0" fillId="0" borderId="23" xfId="0" applyNumberFormat="1" applyFont="1" applyFill="1" applyBorder="1" applyAlignment="1">
      <alignment horizontal="center"/>
    </xf>
    <xf numFmtId="165" fontId="0" fillId="0" borderId="24" xfId="0" applyNumberFormat="1" applyFont="1" applyFill="1" applyBorder="1" applyAlignment="1">
      <alignment horizontal="center"/>
    </xf>
    <xf numFmtId="165" fontId="0" fillId="0" borderId="4" xfId="0" applyNumberFormat="1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165" fontId="0" fillId="0" borderId="65" xfId="0" applyNumberFormat="1" applyFont="1" applyFill="1" applyBorder="1" applyAlignment="1">
      <alignment horizontal="center"/>
    </xf>
    <xf numFmtId="165" fontId="0" fillId="0" borderId="33" xfId="0" applyNumberFormat="1" applyFont="1" applyFill="1" applyBorder="1" applyAlignment="1">
      <alignment horizontal="center"/>
    </xf>
    <xf numFmtId="165" fontId="0" fillId="0" borderId="25" xfId="0" applyNumberFormat="1" applyFont="1" applyFill="1" applyBorder="1" applyAlignment="1">
      <alignment horizontal="center"/>
    </xf>
    <xf numFmtId="165" fontId="0" fillId="0" borderId="15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65" fontId="0" fillId="0" borderId="36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5" fontId="0" fillId="0" borderId="38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0" borderId="47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wrapText="1"/>
    </xf>
    <xf numFmtId="0" fontId="0" fillId="10" borderId="58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21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165" fontId="0" fillId="0" borderId="9" xfId="0" applyNumberFormat="1" applyFont="1" applyFill="1" applyBorder="1" applyAlignment="1">
      <alignment horizontal="center"/>
    </xf>
    <xf numFmtId="0" fontId="0" fillId="0" borderId="6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10" borderId="1" xfId="0" applyNumberFormat="1" applyFont="1" applyFill="1" applyBorder="1" applyAlignment="1">
      <alignment horizontal="center" vertical="center" wrapText="1"/>
    </xf>
    <xf numFmtId="49" fontId="0" fillId="10" borderId="3" xfId="0" applyNumberFormat="1" applyFont="1" applyFill="1" applyBorder="1" applyAlignment="1">
      <alignment horizontal="center" vertical="center"/>
    </xf>
    <xf numFmtId="49" fontId="0" fillId="10" borderId="4" xfId="0" applyNumberFormat="1" applyFont="1" applyFill="1" applyBorder="1" applyAlignment="1">
      <alignment horizontal="center" vertical="center"/>
    </xf>
    <xf numFmtId="49" fontId="0" fillId="10" borderId="6" xfId="0" applyNumberFormat="1" applyFont="1" applyFill="1" applyBorder="1" applyAlignment="1">
      <alignment horizontal="center" vertical="center"/>
    </xf>
    <xf numFmtId="49" fontId="0" fillId="10" borderId="64" xfId="0" applyNumberFormat="1" applyFont="1" applyFill="1" applyBorder="1" applyAlignment="1">
      <alignment horizontal="center" vertical="center"/>
    </xf>
    <xf numFmtId="49" fontId="0" fillId="10" borderId="63" xfId="0" applyNumberFormat="1" applyFont="1" applyFill="1" applyBorder="1" applyAlignment="1">
      <alignment horizontal="center" vertical="center"/>
    </xf>
    <xf numFmtId="49" fontId="0" fillId="0" borderId="68" xfId="0" applyNumberFormat="1" applyFont="1" applyFill="1" applyBorder="1" applyAlignment="1">
      <alignment horizontal="center"/>
    </xf>
    <xf numFmtId="49" fontId="0" fillId="0" borderId="51" xfId="0" applyNumberFormat="1" applyFont="1" applyFill="1" applyBorder="1" applyAlignment="1">
      <alignment horizontal="center"/>
    </xf>
    <xf numFmtId="165" fontId="0" fillId="0" borderId="26" xfId="0" applyNumberFormat="1" applyFont="1" applyFill="1" applyBorder="1" applyAlignment="1">
      <alignment horizontal="center"/>
    </xf>
    <xf numFmtId="165" fontId="0" fillId="0" borderId="29" xfId="0" applyNumberFormat="1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/>
    </xf>
    <xf numFmtId="49" fontId="0" fillId="0" borderId="59" xfId="0" applyNumberFormat="1" applyFont="1" applyFill="1" applyBorder="1" applyAlignment="1">
      <alignment horizontal="center"/>
    </xf>
    <xf numFmtId="49" fontId="0" fillId="0" borderId="67" xfId="0" applyNumberFormat="1" applyFont="1" applyFill="1" applyBorder="1" applyAlignment="1">
      <alignment horizontal="center"/>
    </xf>
    <xf numFmtId="49" fontId="0" fillId="6" borderId="20" xfId="0" applyNumberFormat="1" applyFont="1" applyFill="1" applyBorder="1" applyAlignment="1">
      <alignment horizontal="center"/>
    </xf>
    <xf numFmtId="49" fontId="0" fillId="6" borderId="21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0" fontId="0" fillId="10" borderId="15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165" fontId="0" fillId="0" borderId="5" xfId="0" applyNumberFormat="1" applyFont="1" applyFill="1" applyBorder="1" applyAlignment="1">
      <alignment horizontal="center"/>
    </xf>
    <xf numFmtId="0" fontId="0" fillId="11" borderId="45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45" xfId="0" applyFont="1" applyFill="1" applyBorder="1" applyAlignment="1">
      <alignment horizontal="center"/>
    </xf>
    <xf numFmtId="0" fontId="0" fillId="5" borderId="54" xfId="0" applyFont="1" applyFill="1" applyBorder="1" applyAlignment="1">
      <alignment horizontal="center"/>
    </xf>
    <xf numFmtId="0" fontId="15" fillId="9" borderId="0" xfId="6" applyFont="1" applyAlignment="1">
      <alignment horizontal="center" vertical="center" wrapText="1"/>
    </xf>
    <xf numFmtId="0" fontId="10" fillId="0" borderId="6" xfId="0" applyFont="1" applyFill="1" applyBorder="1" applyAlignment="1">
      <alignment horizontal="left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9" fillId="10" borderId="5" xfId="0" applyFont="1" applyFill="1" applyBorder="1" applyAlignment="1">
      <alignment horizontal="center" vertical="center" wrapText="1"/>
    </xf>
    <xf numFmtId="0" fontId="19" fillId="10" borderId="6" xfId="0" applyFont="1" applyFill="1" applyBorder="1" applyAlignment="1">
      <alignment horizontal="center" vertical="center" wrapText="1"/>
    </xf>
    <xf numFmtId="0" fontId="19" fillId="10" borderId="34" xfId="0" applyFont="1" applyFill="1" applyBorder="1" applyAlignment="1">
      <alignment horizontal="center" vertical="center"/>
    </xf>
    <xf numFmtId="0" fontId="19" fillId="10" borderId="48" xfId="0" applyFont="1" applyFill="1" applyBorder="1" applyAlignment="1">
      <alignment horizontal="center" vertical="center"/>
    </xf>
    <xf numFmtId="0" fontId="19" fillId="10" borderId="3" xfId="0" applyFont="1" applyFill="1" applyBorder="1" applyAlignment="1">
      <alignment horizontal="center" vertical="center"/>
    </xf>
    <xf numFmtId="0" fontId="19" fillId="10" borderId="6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/>
    </xf>
    <xf numFmtId="165" fontId="10" fillId="2" borderId="4" xfId="0" applyNumberFormat="1" applyFont="1" applyFill="1" applyBorder="1" applyAlignment="1">
      <alignment horizontal="center"/>
    </xf>
    <xf numFmtId="165" fontId="10" fillId="2" borderId="5" xfId="0" applyNumberFormat="1" applyFont="1" applyFill="1" applyBorder="1" applyAlignment="1">
      <alignment horizontal="center"/>
    </xf>
    <xf numFmtId="165" fontId="10" fillId="2" borderId="11" xfId="0" applyNumberFormat="1" applyFont="1" applyFill="1" applyBorder="1" applyAlignment="1">
      <alignment horizontal="center"/>
    </xf>
    <xf numFmtId="0" fontId="19" fillId="10" borderId="63" xfId="0" applyFont="1" applyFill="1" applyBorder="1" applyAlignment="1">
      <alignment horizontal="center" vertical="center" wrapText="1"/>
    </xf>
    <xf numFmtId="0" fontId="19" fillId="10" borderId="67" xfId="0" applyFont="1" applyFill="1" applyBorder="1" applyAlignment="1">
      <alignment horizontal="center" vertical="center" wrapText="1"/>
    </xf>
    <xf numFmtId="0" fontId="19" fillId="10" borderId="11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48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/>
    </xf>
    <xf numFmtId="0" fontId="19" fillId="1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1" fillId="10" borderId="5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1" fillId="10" borderId="1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 wrapText="1"/>
    </xf>
    <xf numFmtId="0" fontId="1" fillId="10" borderId="67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0" fillId="11" borderId="1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/>
    </xf>
    <xf numFmtId="165" fontId="10" fillId="2" borderId="6" xfId="0" applyNumberFormat="1" applyFont="1" applyFill="1" applyBorder="1" applyAlignment="1">
      <alignment horizontal="center"/>
    </xf>
    <xf numFmtId="165" fontId="10" fillId="2" borderId="6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left"/>
    </xf>
    <xf numFmtId="165" fontId="0" fillId="0" borderId="36" xfId="0" applyNumberFormat="1" applyFont="1" applyFill="1" applyBorder="1" applyAlignment="1">
      <alignment horizontal="left"/>
    </xf>
    <xf numFmtId="165" fontId="0" fillId="0" borderId="8" xfId="0" applyNumberFormat="1" applyFont="1" applyFill="1" applyBorder="1" applyAlignment="1">
      <alignment horizontal="left"/>
    </xf>
    <xf numFmtId="165" fontId="0" fillId="0" borderId="38" xfId="0" applyNumberFormat="1" applyFont="1" applyFill="1" applyBorder="1" applyAlignment="1">
      <alignment horizontal="left"/>
    </xf>
    <xf numFmtId="165" fontId="0" fillId="0" borderId="6" xfId="0" applyNumberFormat="1" applyFont="1" applyFill="1" applyBorder="1" applyAlignment="1">
      <alignment horizontal="left"/>
    </xf>
    <xf numFmtId="0" fontId="0" fillId="0" borderId="8" xfId="0" applyFont="1" applyFill="1" applyBorder="1" applyAlignment="1"/>
    <xf numFmtId="0" fontId="0" fillId="0" borderId="9" xfId="0" applyFont="1" applyFill="1" applyBorder="1" applyAlignment="1"/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165" fontId="0" fillId="0" borderId="5" xfId="0" applyNumberFormat="1" applyFont="1" applyFill="1" applyBorder="1" applyAlignment="1"/>
    <xf numFmtId="165" fontId="0" fillId="0" borderId="6" xfId="0" applyNumberFormat="1" applyFont="1" applyFill="1" applyBorder="1" applyAlignment="1"/>
    <xf numFmtId="165" fontId="0" fillId="0" borderId="9" xfId="0" applyNumberFormat="1" applyFont="1" applyFill="1" applyBorder="1" applyAlignment="1">
      <alignment horizontal="left"/>
    </xf>
    <xf numFmtId="165" fontId="0" fillId="0" borderId="8" xfId="0" applyNumberFormat="1" applyFont="1" applyFill="1" applyBorder="1" applyAlignment="1">
      <alignment horizontal="center" vertical="center"/>
    </xf>
    <xf numFmtId="165" fontId="0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13" borderId="41" xfId="0" applyFont="1" applyFill="1" applyBorder="1" applyAlignment="1">
      <alignment horizontal="center"/>
    </xf>
    <xf numFmtId="0" fontId="1" fillId="13" borderId="43" xfId="0" applyFont="1" applyFill="1" applyBorder="1" applyAlignment="1">
      <alignment horizontal="center"/>
    </xf>
    <xf numFmtId="0" fontId="1" fillId="12" borderId="41" xfId="0" applyFont="1" applyFill="1" applyBorder="1" applyAlignment="1">
      <alignment horizontal="center"/>
    </xf>
    <xf numFmtId="0" fontId="1" fillId="12" borderId="43" xfId="0" applyFont="1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1" fillId="10" borderId="17" xfId="0" applyFont="1" applyFill="1" applyBorder="1" applyAlignment="1">
      <alignment horizontal="right"/>
    </xf>
    <xf numFmtId="0" fontId="1" fillId="10" borderId="18" xfId="0" applyFont="1" applyFill="1" applyBorder="1" applyAlignment="1">
      <alignment horizontal="right"/>
    </xf>
    <xf numFmtId="0" fontId="1" fillId="11" borderId="41" xfId="0" applyFont="1" applyFill="1" applyBorder="1" applyAlignment="1">
      <alignment horizontal="right"/>
    </xf>
    <xf numFmtId="0" fontId="1" fillId="11" borderId="43" xfId="0" applyFont="1" applyFill="1" applyBorder="1" applyAlignment="1">
      <alignment horizontal="right"/>
    </xf>
    <xf numFmtId="0" fontId="1" fillId="11" borderId="41" xfId="0" applyFont="1" applyFill="1" applyBorder="1" applyAlignment="1">
      <alignment horizontal="center"/>
    </xf>
    <xf numFmtId="0" fontId="1" fillId="11" borderId="43" xfId="0" applyFont="1" applyFill="1" applyBorder="1" applyAlignment="1">
      <alignment horizontal="center"/>
    </xf>
    <xf numFmtId="0" fontId="1" fillId="5" borderId="41" xfId="0" applyFont="1" applyFill="1" applyBorder="1" applyAlignment="1">
      <alignment horizontal="center"/>
    </xf>
    <xf numFmtId="0" fontId="1" fillId="5" borderId="43" xfId="0" applyFont="1" applyFill="1" applyBorder="1" applyAlignment="1">
      <alignment horizontal="center"/>
    </xf>
    <xf numFmtId="0" fontId="15" fillId="9" borderId="17" xfId="6" applyFont="1" applyBorder="1" applyAlignment="1">
      <alignment horizontal="center" vertical="center"/>
    </xf>
    <xf numFmtId="0" fontId="15" fillId="9" borderId="19" xfId="6" applyFont="1" applyBorder="1" applyAlignment="1">
      <alignment horizontal="center" vertical="center"/>
    </xf>
    <xf numFmtId="0" fontId="15" fillId="9" borderId="18" xfId="6" applyFont="1" applyBorder="1" applyAlignment="1">
      <alignment horizontal="center" vertical="center"/>
    </xf>
    <xf numFmtId="0" fontId="15" fillId="9" borderId="20" xfId="6" applyFont="1" applyBorder="1" applyAlignment="1">
      <alignment horizontal="center" vertical="center"/>
    </xf>
    <xf numFmtId="0" fontId="15" fillId="9" borderId="0" xfId="6" applyFont="1" applyBorder="1" applyAlignment="1">
      <alignment horizontal="center" vertical="center"/>
    </xf>
    <xf numFmtId="0" fontId="15" fillId="9" borderId="21" xfId="6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10" borderId="64" xfId="0" applyFont="1" applyFill="1" applyBorder="1" applyAlignment="1">
      <alignment horizontal="center" vertical="center"/>
    </xf>
    <xf numFmtId="0" fontId="0" fillId="10" borderId="62" xfId="0" applyFont="1" applyFill="1" applyBorder="1" applyAlignment="1">
      <alignment horizontal="center" vertical="center"/>
    </xf>
    <xf numFmtId="0" fontId="0" fillId="10" borderId="63" xfId="0" applyFont="1" applyFill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 wrapText="1"/>
    </xf>
    <xf numFmtId="0" fontId="0" fillId="10" borderId="61" xfId="0" applyFont="1" applyFill="1" applyBorder="1" applyAlignment="1">
      <alignment horizontal="center" vertical="center" wrapText="1"/>
    </xf>
    <xf numFmtId="0" fontId="0" fillId="10" borderId="62" xfId="0" applyFont="1" applyFill="1" applyBorder="1" applyAlignment="1">
      <alignment horizontal="center" vertical="center" wrapText="1"/>
    </xf>
    <xf numFmtId="0" fontId="0" fillId="10" borderId="63" xfId="0" applyFont="1" applyFill="1" applyBorder="1" applyAlignment="1">
      <alignment horizontal="center" vertical="center" wrapText="1"/>
    </xf>
    <xf numFmtId="0" fontId="0" fillId="10" borderId="1" xfId="0" applyFont="1" applyFill="1" applyBorder="1"/>
    <xf numFmtId="0" fontId="0" fillId="10" borderId="2" xfId="0" applyFont="1" applyFill="1" applyBorder="1"/>
    <xf numFmtId="0" fontId="0" fillId="10" borderId="47" xfId="0" applyFont="1" applyFill="1" applyBorder="1"/>
    <xf numFmtId="0" fontId="17" fillId="9" borderId="0" xfId="6" applyFont="1" applyBorder="1" applyAlignment="1">
      <alignment horizontal="center" vertical="center" wrapText="1"/>
    </xf>
  </cellXfs>
  <cellStyles count="7">
    <cellStyle name="Èmfasi3" xfId="6" builtinId="37"/>
    <cellStyle name="Enllaç" xfId="5" builtinId="8"/>
    <cellStyle name="Euro" xfId="2"/>
    <cellStyle name="Euro 2" xfId="4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colors>
    <mruColors>
      <color rgb="FFE4C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X159"/>
  <sheetViews>
    <sheetView showGridLines="0" tabSelected="1" zoomScale="80" zoomScaleNormal="80" workbookViewId="0">
      <selection activeCell="F24" sqref="F24"/>
    </sheetView>
  </sheetViews>
  <sheetFormatPr defaultColWidth="9.140625" defaultRowHeight="15"/>
  <cols>
    <col min="1" max="1" width="9.140625" style="22" customWidth="1"/>
    <col min="2" max="2" width="12.85546875" style="22" customWidth="1"/>
    <col min="3" max="3" width="16" style="22" customWidth="1"/>
    <col min="4" max="4" width="13.85546875" style="22" customWidth="1"/>
    <col min="5" max="5" width="14" style="22" customWidth="1"/>
    <col min="6" max="6" width="15.5703125" style="22" customWidth="1"/>
    <col min="7" max="7" width="20" style="22" customWidth="1"/>
    <col min="8" max="8" width="16.42578125" style="22" customWidth="1"/>
    <col min="9" max="9" width="15" style="22" customWidth="1"/>
    <col min="10" max="10" width="14.7109375" style="22" customWidth="1"/>
    <col min="11" max="11" width="14.140625" style="22" customWidth="1"/>
    <col min="12" max="12" width="15.28515625" style="22" customWidth="1"/>
    <col min="13" max="13" width="15" style="22" customWidth="1"/>
    <col min="14" max="14" width="14.42578125" style="22" customWidth="1"/>
    <col min="15" max="15" width="16.28515625" style="22" customWidth="1"/>
    <col min="16" max="16" width="16.85546875" style="22" customWidth="1"/>
    <col min="17" max="18" width="16.42578125" style="22" customWidth="1"/>
    <col min="19" max="19" width="14.140625" style="22" customWidth="1"/>
    <col min="20" max="20" width="11" style="22" customWidth="1"/>
    <col min="21" max="21" width="13.7109375" style="22" bestFit="1" customWidth="1"/>
    <col min="22" max="22" width="12.140625" style="22" customWidth="1"/>
    <col min="23" max="23" width="12" style="22" customWidth="1"/>
    <col min="24" max="24" width="12.85546875" style="22" customWidth="1"/>
    <col min="25" max="16384" width="9.140625" style="22"/>
  </cols>
  <sheetData>
    <row r="2" spans="1:24" ht="21">
      <c r="A2" s="523" t="s">
        <v>312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</row>
    <row r="4" spans="1:24">
      <c r="A4" s="531" t="s">
        <v>0</v>
      </c>
      <c r="B4" s="531"/>
      <c r="C4" s="531"/>
      <c r="D4" s="531"/>
      <c r="E4" s="531"/>
      <c r="F4" s="531"/>
      <c r="G4" s="531"/>
      <c r="H4" s="185"/>
      <c r="I4" s="185"/>
      <c r="O4" s="10"/>
      <c r="P4" s="10"/>
      <c r="Q4" s="10"/>
      <c r="R4" s="10"/>
      <c r="S4" s="10"/>
      <c r="T4" s="10"/>
      <c r="U4" s="10"/>
      <c r="V4" s="10"/>
      <c r="W4" s="33"/>
      <c r="X4" s="33"/>
    </row>
    <row r="5" spans="1:24">
      <c r="A5" s="422"/>
      <c r="B5" s="422"/>
      <c r="C5" s="422"/>
      <c r="D5" s="422"/>
      <c r="E5" s="422"/>
      <c r="F5" s="422"/>
      <c r="G5" s="422"/>
      <c r="H5" s="421"/>
      <c r="I5" s="421"/>
      <c r="O5" s="10"/>
      <c r="P5" s="10"/>
      <c r="Q5" s="10"/>
      <c r="R5" s="10"/>
      <c r="S5" s="10"/>
      <c r="T5" s="10"/>
      <c r="U5" s="10"/>
      <c r="V5" s="10"/>
      <c r="W5" s="33"/>
      <c r="X5" s="33"/>
    </row>
    <row r="6" spans="1:24">
      <c r="A6" s="66" t="s">
        <v>349</v>
      </c>
    </row>
    <row r="7" spans="1:24" ht="15.75" thickBot="1">
      <c r="A7" s="530"/>
      <c r="B7" s="530"/>
      <c r="C7" s="530"/>
      <c r="D7" s="530"/>
      <c r="E7" s="530"/>
      <c r="F7" s="530"/>
      <c r="G7" s="530"/>
      <c r="H7" s="530"/>
      <c r="I7" s="530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.75" thickBot="1">
      <c r="E8" s="433" t="s">
        <v>289</v>
      </c>
      <c r="F8" s="434"/>
      <c r="G8" s="434"/>
      <c r="H8" s="434"/>
      <c r="I8" s="434"/>
      <c r="J8" s="434"/>
      <c r="K8" s="434"/>
      <c r="L8" s="434"/>
      <c r="M8" s="435" t="s">
        <v>288</v>
      </c>
      <c r="N8" s="481"/>
      <c r="O8" s="481"/>
      <c r="P8" s="481"/>
      <c r="Q8" s="481"/>
      <c r="R8" s="481"/>
      <c r="S8" s="481"/>
      <c r="T8" s="436"/>
      <c r="U8" s="60"/>
      <c r="V8" s="60"/>
      <c r="W8" s="60"/>
      <c r="X8" s="60"/>
    </row>
    <row r="9" spans="1:24" ht="15" customHeight="1">
      <c r="A9" s="486" t="s">
        <v>68</v>
      </c>
      <c r="B9" s="475"/>
      <c r="C9" s="475"/>
      <c r="D9" s="468" t="s">
        <v>69</v>
      </c>
      <c r="E9" s="486" t="s">
        <v>7</v>
      </c>
      <c r="F9" s="461" t="s">
        <v>70</v>
      </c>
      <c r="G9" s="461" t="s">
        <v>71</v>
      </c>
      <c r="H9" s="461" t="s">
        <v>72</v>
      </c>
      <c r="I9" s="461" t="s">
        <v>73</v>
      </c>
      <c r="J9" s="461" t="s">
        <v>74</v>
      </c>
      <c r="K9" s="461" t="s">
        <v>75</v>
      </c>
      <c r="L9" s="466" t="s">
        <v>14</v>
      </c>
      <c r="M9" s="486" t="s">
        <v>7</v>
      </c>
      <c r="N9" s="461" t="s">
        <v>70</v>
      </c>
      <c r="O9" s="461" t="s">
        <v>71</v>
      </c>
      <c r="P9" s="461" t="s">
        <v>72</v>
      </c>
      <c r="Q9" s="461" t="s">
        <v>73</v>
      </c>
      <c r="R9" s="461" t="s">
        <v>74</v>
      </c>
      <c r="S9" s="461" t="s">
        <v>75</v>
      </c>
      <c r="T9" s="462" t="s">
        <v>14</v>
      </c>
      <c r="U9" s="494" t="s">
        <v>15</v>
      </c>
      <c r="V9" s="33"/>
      <c r="W9" s="33"/>
    </row>
    <row r="10" spans="1:24">
      <c r="A10" s="469"/>
      <c r="B10" s="476"/>
      <c r="C10" s="476"/>
      <c r="D10" s="470"/>
      <c r="E10" s="469"/>
      <c r="F10" s="464"/>
      <c r="G10" s="464"/>
      <c r="H10" s="464"/>
      <c r="I10" s="464"/>
      <c r="J10" s="464"/>
      <c r="K10" s="464"/>
      <c r="L10" s="467"/>
      <c r="M10" s="469"/>
      <c r="N10" s="464"/>
      <c r="O10" s="464"/>
      <c r="P10" s="464"/>
      <c r="Q10" s="464"/>
      <c r="R10" s="464"/>
      <c r="S10" s="464"/>
      <c r="T10" s="465"/>
      <c r="U10" s="495"/>
      <c r="V10" s="33"/>
      <c r="W10" s="33"/>
    </row>
    <row r="11" spans="1:24">
      <c r="A11" s="469"/>
      <c r="B11" s="476"/>
      <c r="C11" s="476"/>
      <c r="D11" s="470"/>
      <c r="E11" s="469"/>
      <c r="F11" s="464"/>
      <c r="G11" s="464"/>
      <c r="H11" s="464"/>
      <c r="I11" s="464"/>
      <c r="J11" s="464"/>
      <c r="K11" s="464"/>
      <c r="L11" s="467"/>
      <c r="M11" s="469"/>
      <c r="N11" s="464"/>
      <c r="O11" s="464"/>
      <c r="P11" s="464"/>
      <c r="Q11" s="464"/>
      <c r="R11" s="464"/>
      <c r="S11" s="464"/>
      <c r="T11" s="465"/>
      <c r="U11" s="495"/>
    </row>
    <row r="12" spans="1:24">
      <c r="A12" s="265" t="s">
        <v>76</v>
      </c>
      <c r="B12" s="244"/>
      <c r="C12" s="244"/>
      <c r="D12" s="264" t="s">
        <v>77</v>
      </c>
      <c r="E12" s="214">
        <v>1148.3399999999999</v>
      </c>
      <c r="F12" s="213">
        <f>886.4*1.015</f>
        <v>899.69599999999991</v>
      </c>
      <c r="G12" s="213">
        <f>999.41*1.015</f>
        <v>1014.4011499999999</v>
      </c>
      <c r="H12" s="213">
        <f>202.51+5.38</f>
        <v>207.89</v>
      </c>
      <c r="I12" s="213">
        <f>13.46*1.015</f>
        <v>13.661899999999999</v>
      </c>
      <c r="J12" s="302">
        <f t="shared" ref="J12:J20" si="0">E12+F12+G12+H12+I12</f>
        <v>3283.9890499999997</v>
      </c>
      <c r="K12" s="306">
        <v>708.61</v>
      </c>
      <c r="L12" s="305">
        <f>K12+F12+G12+H12+I12</f>
        <v>2844.2590500000001</v>
      </c>
      <c r="M12" s="304">
        <v>1151.17</v>
      </c>
      <c r="N12" s="303">
        <v>901.92</v>
      </c>
      <c r="O12" s="303">
        <v>1016.899675</v>
      </c>
      <c r="P12" s="303">
        <f>203.0116+5.38</f>
        <v>208.39159999999998</v>
      </c>
      <c r="Q12" s="303">
        <v>13.69</v>
      </c>
      <c r="R12" s="302">
        <f t="shared" ref="R12:R20" si="1">M12+N12+O12+P12+Q12</f>
        <v>3292.0712750000002</v>
      </c>
      <c r="S12" s="301">
        <v>710.36</v>
      </c>
      <c r="T12" s="300">
        <f t="shared" ref="T12:T20" si="2">S12+N12+O12+P12+Q12</f>
        <v>2851.2612749999998</v>
      </c>
      <c r="U12" s="299">
        <f t="shared" ref="U12:U20" si="3">(J12*6)+L12+(R12*6)+T12</f>
        <v>45151.882274999996</v>
      </c>
    </row>
    <row r="13" spans="1:24">
      <c r="A13" s="265" t="s">
        <v>76</v>
      </c>
      <c r="B13" s="244"/>
      <c r="C13" s="244"/>
      <c r="D13" s="264" t="s">
        <v>78</v>
      </c>
      <c r="E13" s="214">
        <f>490.07*1.015</f>
        <v>497.42104999999992</v>
      </c>
      <c r="F13" s="213">
        <f>816.83*1.015</f>
        <v>829.08244999999999</v>
      </c>
      <c r="G13" s="213">
        <v>0</v>
      </c>
      <c r="H13" s="213">
        <v>112.16</v>
      </c>
      <c r="I13" s="213">
        <v>0</v>
      </c>
      <c r="J13" s="302">
        <f t="shared" si="0"/>
        <v>1438.6634999999999</v>
      </c>
      <c r="K13" s="306">
        <f>302.4*1.015</f>
        <v>306.93599999999992</v>
      </c>
      <c r="L13" s="305">
        <f t="shared" ref="L13:L20" si="4">K13+F13+G13+H13+I13</f>
        <v>1248.1784500000001</v>
      </c>
      <c r="M13" s="304">
        <v>498.64622500000002</v>
      </c>
      <c r="N13" s="303">
        <v>831.12452500000006</v>
      </c>
      <c r="O13" s="303">
        <v>0</v>
      </c>
      <c r="P13" s="303">
        <v>112.43</v>
      </c>
      <c r="Q13" s="303">
        <v>0</v>
      </c>
      <c r="R13" s="302">
        <f t="shared" si="1"/>
        <v>1442.2007500000002</v>
      </c>
      <c r="S13" s="301">
        <v>307.7</v>
      </c>
      <c r="T13" s="300">
        <f t="shared" si="2"/>
        <v>1251.2545250000001</v>
      </c>
      <c r="U13" s="299">
        <f t="shared" si="3"/>
        <v>19784.618474999999</v>
      </c>
    </row>
    <row r="14" spans="1:24">
      <c r="A14" s="265" t="s">
        <v>76</v>
      </c>
      <c r="B14" s="244"/>
      <c r="C14" s="244"/>
      <c r="D14" s="264" t="s">
        <v>79</v>
      </c>
      <c r="E14" s="214">
        <f>326.73*1.015</f>
        <v>331.63094999999998</v>
      </c>
      <c r="F14" s="213">
        <f>544.61*1.015</f>
        <v>552.77914999999996</v>
      </c>
      <c r="G14" s="213">
        <v>0</v>
      </c>
      <c r="H14" s="213">
        <f>75.12*1.015</f>
        <v>76.246799999999993</v>
      </c>
      <c r="I14" s="213">
        <v>0</v>
      </c>
      <c r="J14" s="302">
        <f t="shared" si="0"/>
        <v>960.65689999999995</v>
      </c>
      <c r="K14" s="306">
        <f>201.62*1.015</f>
        <v>204.64429999999999</v>
      </c>
      <c r="L14" s="305">
        <f t="shared" si="4"/>
        <v>833.67025000000001</v>
      </c>
      <c r="M14" s="304">
        <v>332.44777500000004</v>
      </c>
      <c r="N14" s="303">
        <v>554.13</v>
      </c>
      <c r="O14" s="303">
        <v>0</v>
      </c>
      <c r="P14" s="303">
        <v>79.12</v>
      </c>
      <c r="Q14" s="303">
        <v>0</v>
      </c>
      <c r="R14" s="302">
        <f t="shared" si="1"/>
        <v>965.69777499999998</v>
      </c>
      <c r="S14" s="301">
        <v>205.14</v>
      </c>
      <c r="T14" s="300">
        <f t="shared" si="2"/>
        <v>838.39</v>
      </c>
      <c r="U14" s="299">
        <f t="shared" si="3"/>
        <v>13230.188299999998</v>
      </c>
    </row>
    <row r="15" spans="1:24">
      <c r="A15" s="265" t="s">
        <v>76</v>
      </c>
      <c r="B15" s="244"/>
      <c r="C15" s="244"/>
      <c r="D15" s="264" t="s">
        <v>80</v>
      </c>
      <c r="E15" s="214">
        <f>245.04*1.015</f>
        <v>248.71559999999997</v>
      </c>
      <c r="F15" s="213">
        <f>408.43*1.015</f>
        <v>414.55644999999998</v>
      </c>
      <c r="G15" s="213">
        <v>0</v>
      </c>
      <c r="H15" s="213">
        <v>62.26</v>
      </c>
      <c r="I15" s="213">
        <v>0</v>
      </c>
      <c r="J15" s="302">
        <f t="shared" si="0"/>
        <v>725.53204999999991</v>
      </c>
      <c r="K15" s="306">
        <f>151.21*1.015</f>
        <v>153.47815</v>
      </c>
      <c r="L15" s="305">
        <f t="shared" si="4"/>
        <v>630.29459999999995</v>
      </c>
      <c r="M15" s="304">
        <v>249.32820000000001</v>
      </c>
      <c r="N15" s="303">
        <v>415.57752500000004</v>
      </c>
      <c r="O15" s="303">
        <v>0</v>
      </c>
      <c r="P15" s="303">
        <v>62.41</v>
      </c>
      <c r="Q15" s="303">
        <v>0</v>
      </c>
      <c r="R15" s="302">
        <f t="shared" si="1"/>
        <v>727.31572500000004</v>
      </c>
      <c r="S15" s="301">
        <v>153.85617500000001</v>
      </c>
      <c r="T15" s="300">
        <f t="shared" si="2"/>
        <v>631.84370000000001</v>
      </c>
      <c r="U15" s="299">
        <f t="shared" si="3"/>
        <v>9979.2249499999998</v>
      </c>
    </row>
    <row r="16" spans="1:24">
      <c r="A16" s="502" t="s">
        <v>281</v>
      </c>
      <c r="B16" s="503"/>
      <c r="C16" s="503"/>
      <c r="D16" s="264" t="s">
        <v>77</v>
      </c>
      <c r="E16" s="214">
        <v>1148.3399999999999</v>
      </c>
      <c r="F16" s="213">
        <f>811.85*1.015</f>
        <v>824.02774999999997</v>
      </c>
      <c r="G16" s="213">
        <f>466.25*1.015</f>
        <v>473.24374999999998</v>
      </c>
      <c r="H16" s="213">
        <v>173.96</v>
      </c>
      <c r="I16" s="213">
        <f>6.28*1.015</f>
        <v>6.3741999999999992</v>
      </c>
      <c r="J16" s="302">
        <f t="shared" si="0"/>
        <v>2625.9457000000002</v>
      </c>
      <c r="K16" s="306">
        <v>708.61</v>
      </c>
      <c r="L16" s="305">
        <f t="shared" si="4"/>
        <v>2186.2157000000002</v>
      </c>
      <c r="M16" s="304">
        <v>1151.17</v>
      </c>
      <c r="N16" s="303">
        <v>826.05737500000009</v>
      </c>
      <c r="O16" s="303">
        <v>474.40937500000001</v>
      </c>
      <c r="P16" s="303">
        <v>174.38</v>
      </c>
      <c r="Q16" s="303">
        <v>6.3899000000000008</v>
      </c>
      <c r="R16" s="302">
        <f t="shared" si="1"/>
        <v>2632.4066500000004</v>
      </c>
      <c r="S16" s="301">
        <v>710.36</v>
      </c>
      <c r="T16" s="300">
        <f t="shared" si="2"/>
        <v>2191.59665</v>
      </c>
      <c r="U16" s="299">
        <f t="shared" si="3"/>
        <v>35927.926450000006</v>
      </c>
    </row>
    <row r="17" spans="1:21">
      <c r="A17" s="245" t="s">
        <v>81</v>
      </c>
      <c r="B17" s="244"/>
      <c r="C17" s="244"/>
      <c r="D17" s="264" t="s">
        <v>77</v>
      </c>
      <c r="E17" s="214">
        <v>1148.3399999999999</v>
      </c>
      <c r="F17" s="213">
        <f>811.85*1.015</f>
        <v>824.02774999999997</v>
      </c>
      <c r="G17" s="213">
        <f>466.25*1.015</f>
        <v>473.24374999999998</v>
      </c>
      <c r="H17" s="213">
        <v>173.96</v>
      </c>
      <c r="I17" s="213">
        <f>6.28*1.015</f>
        <v>6.3741999999999992</v>
      </c>
      <c r="J17" s="302">
        <f t="shared" si="0"/>
        <v>2625.9457000000002</v>
      </c>
      <c r="K17" s="306">
        <v>708.61</v>
      </c>
      <c r="L17" s="305">
        <f t="shared" si="4"/>
        <v>2186.2157000000002</v>
      </c>
      <c r="M17" s="304">
        <v>1151.17</v>
      </c>
      <c r="N17" s="303">
        <v>826.05737500000009</v>
      </c>
      <c r="O17" s="303">
        <v>474.40937500000001</v>
      </c>
      <c r="P17" s="303">
        <f>168.996575+5.38</f>
        <v>174.376575</v>
      </c>
      <c r="Q17" s="303">
        <v>6.3899000000000008</v>
      </c>
      <c r="R17" s="302">
        <f t="shared" si="1"/>
        <v>2632.403225</v>
      </c>
      <c r="S17" s="301">
        <v>710.36</v>
      </c>
      <c r="T17" s="300">
        <f t="shared" si="2"/>
        <v>2191.5932250000001</v>
      </c>
      <c r="U17" s="299">
        <f t="shared" si="3"/>
        <v>35927.902475000003</v>
      </c>
    </row>
    <row r="18" spans="1:21">
      <c r="A18" s="245" t="s">
        <v>81</v>
      </c>
      <c r="B18" s="244"/>
      <c r="C18" s="244"/>
      <c r="D18" s="264" t="s">
        <v>78</v>
      </c>
      <c r="E18" s="214">
        <f>490.07*1.015</f>
        <v>497.42104999999992</v>
      </c>
      <c r="F18" s="213">
        <f>553.63*1.015</f>
        <v>561.93444999999997</v>
      </c>
      <c r="G18" s="213">
        <v>0</v>
      </c>
      <c r="H18" s="213">
        <v>92.93</v>
      </c>
      <c r="I18" s="213">
        <v>0</v>
      </c>
      <c r="J18" s="302">
        <f t="shared" si="0"/>
        <v>1152.2855</v>
      </c>
      <c r="K18" s="306">
        <f>302.4*1.015</f>
        <v>306.93599999999992</v>
      </c>
      <c r="L18" s="305">
        <f t="shared" si="4"/>
        <v>961.80044999999996</v>
      </c>
      <c r="M18" s="304">
        <v>498.64622500000002</v>
      </c>
      <c r="N18" s="303">
        <v>563.30999999999995</v>
      </c>
      <c r="O18" s="303">
        <v>0</v>
      </c>
      <c r="P18" s="303">
        <v>93.15</v>
      </c>
      <c r="Q18" s="303">
        <v>0</v>
      </c>
      <c r="R18" s="302">
        <f t="shared" si="1"/>
        <v>1155.106225</v>
      </c>
      <c r="S18" s="301">
        <v>307.7</v>
      </c>
      <c r="T18" s="300">
        <f t="shared" si="2"/>
        <v>964.16</v>
      </c>
      <c r="U18" s="299">
        <f t="shared" si="3"/>
        <v>15770.310799999999</v>
      </c>
    </row>
    <row r="19" spans="1:21">
      <c r="A19" s="245" t="s">
        <v>81</v>
      </c>
      <c r="B19" s="244"/>
      <c r="C19" s="244"/>
      <c r="D19" s="264" t="s">
        <v>80</v>
      </c>
      <c r="E19" s="214">
        <f>245.04*1.015</f>
        <v>248.71559999999997</v>
      </c>
      <c r="F19" s="213">
        <f>276.81*1.015</f>
        <v>280.96214999999995</v>
      </c>
      <c r="G19" s="213">
        <v>0</v>
      </c>
      <c r="H19" s="213">
        <v>52.61</v>
      </c>
      <c r="I19" s="213">
        <v>0</v>
      </c>
      <c r="J19" s="302">
        <f t="shared" si="0"/>
        <v>582.28774999999996</v>
      </c>
      <c r="K19" s="306">
        <f>151.21*1.015</f>
        <v>153.47815</v>
      </c>
      <c r="L19" s="305">
        <f t="shared" si="4"/>
        <v>487.05029999999999</v>
      </c>
      <c r="M19" s="304">
        <v>249.32820000000001</v>
      </c>
      <c r="N19" s="303">
        <v>281.65417500000001</v>
      </c>
      <c r="O19" s="303">
        <v>0</v>
      </c>
      <c r="P19" s="303">
        <v>52.73</v>
      </c>
      <c r="Q19" s="303">
        <v>0</v>
      </c>
      <c r="R19" s="302">
        <f t="shared" si="1"/>
        <v>583.71237500000007</v>
      </c>
      <c r="S19" s="301">
        <v>153.85617500000001</v>
      </c>
      <c r="T19" s="300">
        <f t="shared" si="2"/>
        <v>488.24035000000003</v>
      </c>
      <c r="U19" s="299">
        <f t="shared" si="3"/>
        <v>7971.2914000000001</v>
      </c>
    </row>
    <row r="20" spans="1:21" ht="15.75" thickBot="1">
      <c r="A20" s="254" t="s">
        <v>82</v>
      </c>
      <c r="B20" s="253"/>
      <c r="C20" s="253"/>
      <c r="D20" s="260" t="s">
        <v>77</v>
      </c>
      <c r="E20" s="201">
        <v>1148.3399999999999</v>
      </c>
      <c r="F20" s="205">
        <v>722.94</v>
      </c>
      <c r="G20" s="205">
        <v>292.18</v>
      </c>
      <c r="H20" s="205">
        <v>155.77000000000001</v>
      </c>
      <c r="I20" s="205">
        <f>3.15</f>
        <v>3.15</v>
      </c>
      <c r="J20" s="294">
        <f t="shared" si="0"/>
        <v>2322.38</v>
      </c>
      <c r="K20" s="298">
        <v>708.61</v>
      </c>
      <c r="L20" s="297">
        <f t="shared" si="4"/>
        <v>1882.6500000000003</v>
      </c>
      <c r="M20" s="296">
        <v>1151.17</v>
      </c>
      <c r="N20" s="295">
        <v>724.73</v>
      </c>
      <c r="O20" s="295">
        <v>292.89999999999998</v>
      </c>
      <c r="P20" s="295">
        <v>158.15</v>
      </c>
      <c r="Q20" s="295">
        <v>3.164425</v>
      </c>
      <c r="R20" s="294">
        <f t="shared" si="1"/>
        <v>2330.1144250000002</v>
      </c>
      <c r="S20" s="293">
        <v>710.36</v>
      </c>
      <c r="T20" s="292">
        <f t="shared" si="2"/>
        <v>1889.3044250000003</v>
      </c>
      <c r="U20" s="291">
        <f t="shared" si="3"/>
        <v>31686.920975000001</v>
      </c>
    </row>
    <row r="23" spans="1:21" ht="18.75" customHeight="1">
      <c r="A23" s="458" t="s">
        <v>311</v>
      </c>
      <c r="B23" s="458"/>
      <c r="C23" s="458"/>
      <c r="D23" s="458"/>
      <c r="E23" s="458"/>
      <c r="F23" s="458"/>
      <c r="G23" s="458"/>
      <c r="H23" s="458"/>
      <c r="I23" s="458"/>
      <c r="J23" s="458"/>
      <c r="K23" s="458"/>
    </row>
    <row r="24" spans="1:21" ht="15.75">
      <c r="A24" s="290"/>
      <c r="B24" s="290"/>
      <c r="C24" s="290"/>
      <c r="D24" s="290"/>
      <c r="E24" s="290"/>
      <c r="F24" s="290"/>
      <c r="G24" s="290"/>
      <c r="H24" s="279"/>
      <c r="I24" s="279"/>
    </row>
    <row r="25" spans="1:21" ht="15.75" thickBot="1">
      <c r="A25" s="287"/>
      <c r="B25" s="287"/>
      <c r="C25" s="287"/>
      <c r="D25" s="287"/>
      <c r="E25" s="287"/>
      <c r="F25" s="289"/>
      <c r="G25" s="288"/>
      <c r="H25" s="279"/>
      <c r="I25" s="279"/>
    </row>
    <row r="26" spans="1:21" ht="15.75" thickBot="1">
      <c r="A26" s="279"/>
      <c r="B26" s="279"/>
      <c r="C26" s="287"/>
      <c r="D26" s="287"/>
      <c r="E26" s="287"/>
      <c r="F26" s="509" t="s">
        <v>289</v>
      </c>
      <c r="G26" s="510"/>
      <c r="H26" s="507" t="s">
        <v>288</v>
      </c>
      <c r="I26" s="508"/>
    </row>
    <row r="27" spans="1:21">
      <c r="A27" s="487" t="s">
        <v>207</v>
      </c>
      <c r="B27" s="488"/>
      <c r="C27" s="488"/>
      <c r="D27" s="488"/>
      <c r="E27" s="488"/>
      <c r="F27" s="460" t="s">
        <v>77</v>
      </c>
      <c r="G27" s="462"/>
      <c r="H27" s="460" t="s">
        <v>77</v>
      </c>
      <c r="I27" s="466"/>
    </row>
    <row r="28" spans="1:21">
      <c r="A28" s="502" t="s">
        <v>208</v>
      </c>
      <c r="B28" s="503"/>
      <c r="C28" s="503"/>
      <c r="D28" s="503"/>
      <c r="E28" s="504"/>
      <c r="F28" s="505">
        <v>44.18</v>
      </c>
      <c r="G28" s="506"/>
      <c r="H28" s="479">
        <v>44.29</v>
      </c>
      <c r="I28" s="480"/>
    </row>
    <row r="29" spans="1:21">
      <c r="A29" s="502" t="s">
        <v>209</v>
      </c>
      <c r="B29" s="503"/>
      <c r="C29" s="503"/>
      <c r="D29" s="503"/>
      <c r="E29" s="504"/>
      <c r="F29" s="505">
        <v>19.11</v>
      </c>
      <c r="G29" s="506"/>
      <c r="H29" s="479">
        <v>19.159524999999999</v>
      </c>
      <c r="I29" s="480"/>
    </row>
    <row r="30" spans="1:21">
      <c r="A30" s="502" t="s">
        <v>210</v>
      </c>
      <c r="B30" s="503"/>
      <c r="C30" s="503"/>
      <c r="D30" s="503"/>
      <c r="E30" s="504"/>
      <c r="F30" s="505">
        <v>12.74</v>
      </c>
      <c r="G30" s="506"/>
      <c r="H30" s="479">
        <v>12.76</v>
      </c>
      <c r="I30" s="480"/>
    </row>
    <row r="31" spans="1:21" ht="15.75" thickBot="1">
      <c r="A31" s="452" t="s">
        <v>211</v>
      </c>
      <c r="B31" s="520"/>
      <c r="C31" s="520"/>
      <c r="D31" s="520"/>
      <c r="E31" s="521"/>
      <c r="F31" s="496">
        <v>9.5399999999999991</v>
      </c>
      <c r="G31" s="497"/>
      <c r="H31" s="532">
        <v>9.57</v>
      </c>
      <c r="I31" s="533"/>
    </row>
    <row r="32" spans="1:21">
      <c r="A32" s="279"/>
      <c r="B32" s="279"/>
      <c r="C32" s="279"/>
      <c r="D32" s="279"/>
      <c r="E32" s="279"/>
      <c r="F32" s="282"/>
      <c r="G32" s="282"/>
      <c r="H32" s="282"/>
      <c r="I32" s="282"/>
    </row>
    <row r="33" spans="1:22" ht="15.75" thickBot="1">
      <c r="A33" s="284"/>
      <c r="B33" s="280"/>
      <c r="C33" s="280"/>
      <c r="D33" s="280"/>
      <c r="E33" s="280"/>
      <c r="F33" s="282"/>
      <c r="G33" s="283"/>
      <c r="H33" s="282"/>
      <c r="I33" s="282"/>
    </row>
    <row r="34" spans="1:22" ht="15.75" thickBot="1">
      <c r="A34" s="281"/>
      <c r="B34" s="281"/>
      <c r="C34" s="280"/>
      <c r="D34" s="280"/>
      <c r="E34" s="280"/>
      <c r="F34" s="500" t="s">
        <v>289</v>
      </c>
      <c r="G34" s="501"/>
      <c r="H34" s="498" t="s">
        <v>288</v>
      </c>
      <c r="I34" s="499"/>
    </row>
    <row r="35" spans="1:22">
      <c r="A35" s="524" t="s">
        <v>212</v>
      </c>
      <c r="B35" s="525"/>
      <c r="C35" s="525"/>
      <c r="D35" s="525"/>
      <c r="E35" s="526"/>
      <c r="F35" s="527" t="s">
        <v>77</v>
      </c>
      <c r="G35" s="529"/>
      <c r="H35" s="527" t="s">
        <v>77</v>
      </c>
      <c r="I35" s="528"/>
    </row>
    <row r="36" spans="1:22">
      <c r="A36" s="502" t="s">
        <v>208</v>
      </c>
      <c r="B36" s="503"/>
      <c r="C36" s="503"/>
      <c r="D36" s="503"/>
      <c r="E36" s="504"/>
      <c r="F36" s="505">
        <v>27.26</v>
      </c>
      <c r="G36" s="506"/>
      <c r="H36" s="479">
        <v>27.33</v>
      </c>
      <c r="I36" s="480"/>
    </row>
    <row r="37" spans="1:22">
      <c r="A37" s="502" t="s">
        <v>209</v>
      </c>
      <c r="B37" s="503"/>
      <c r="C37" s="503"/>
      <c r="D37" s="503"/>
      <c r="E37" s="504"/>
      <c r="F37" s="505">
        <v>11.79</v>
      </c>
      <c r="G37" s="506"/>
      <c r="H37" s="479">
        <v>11.82335</v>
      </c>
      <c r="I37" s="480"/>
    </row>
    <row r="38" spans="1:22">
      <c r="A38" s="502" t="s">
        <v>210</v>
      </c>
      <c r="B38" s="503"/>
      <c r="C38" s="503"/>
      <c r="D38" s="503"/>
      <c r="E38" s="504"/>
      <c r="F38" s="505">
        <v>7.87</v>
      </c>
      <c r="G38" s="506"/>
      <c r="H38" s="479">
        <v>7.885625000000001</v>
      </c>
      <c r="I38" s="480"/>
    </row>
    <row r="39" spans="1:22" ht="15.75" thickBot="1">
      <c r="A39" s="452" t="s">
        <v>211</v>
      </c>
      <c r="B39" s="520"/>
      <c r="C39" s="520"/>
      <c r="D39" s="520"/>
      <c r="E39" s="521"/>
      <c r="F39" s="496">
        <v>5.89</v>
      </c>
      <c r="G39" s="497"/>
      <c r="H39" s="532">
        <v>5.9015000000000004</v>
      </c>
      <c r="I39" s="533"/>
    </row>
    <row r="40" spans="1:22">
      <c r="A40" s="279"/>
      <c r="B40" s="279"/>
      <c r="C40" s="279"/>
      <c r="D40" s="279"/>
      <c r="E40" s="279"/>
      <c r="F40" s="279"/>
      <c r="G40" s="279"/>
      <c r="H40" s="279"/>
      <c r="I40" s="279"/>
    </row>
    <row r="41" spans="1:22">
      <c r="S41" s="33"/>
      <c r="T41" s="33"/>
      <c r="U41" s="33"/>
      <c r="V41" s="33"/>
    </row>
    <row r="42" spans="1:22" ht="21">
      <c r="A42" s="523" t="s">
        <v>310</v>
      </c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33"/>
    </row>
    <row r="43" spans="1:22" ht="21">
      <c r="A43" s="425"/>
      <c r="B43" s="425"/>
      <c r="C43" s="425"/>
      <c r="D43" s="425"/>
      <c r="E43" s="425"/>
      <c r="F43" s="425"/>
      <c r="G43" s="425"/>
      <c r="H43" s="425"/>
      <c r="I43" s="425"/>
      <c r="S43" s="33"/>
      <c r="T43" s="33"/>
      <c r="U43" s="33"/>
      <c r="V43" s="33"/>
    </row>
    <row r="44" spans="1:22">
      <c r="A44" s="66" t="s">
        <v>343</v>
      </c>
    </row>
    <row r="45" spans="1:22" ht="15.75" thickBot="1">
      <c r="A45" s="530"/>
      <c r="B45" s="530"/>
      <c r="C45" s="530"/>
      <c r="D45" s="530"/>
      <c r="E45" s="530"/>
      <c r="F45" s="530"/>
      <c r="G45" s="530"/>
      <c r="H45" s="530"/>
      <c r="I45" s="530"/>
      <c r="R45" s="33"/>
      <c r="S45" s="33"/>
      <c r="T45" s="33"/>
      <c r="U45" s="33"/>
      <c r="V45" s="33"/>
    </row>
    <row r="46" spans="1:22" ht="15.75" thickBot="1">
      <c r="E46" s="489" t="s">
        <v>289</v>
      </c>
      <c r="F46" s="490"/>
      <c r="G46" s="490"/>
      <c r="H46" s="490"/>
      <c r="I46" s="490"/>
      <c r="J46" s="490"/>
      <c r="K46" s="491" t="s">
        <v>288</v>
      </c>
      <c r="L46" s="492"/>
      <c r="M46" s="492"/>
      <c r="N46" s="492"/>
      <c r="O46" s="492"/>
      <c r="P46" s="493"/>
      <c r="Q46" s="60"/>
      <c r="R46" s="60"/>
      <c r="S46" s="60"/>
      <c r="T46" s="60"/>
      <c r="U46" s="60"/>
      <c r="V46" s="33"/>
    </row>
    <row r="47" spans="1:22" ht="15" customHeight="1">
      <c r="A47" s="486" t="s">
        <v>68</v>
      </c>
      <c r="B47" s="475"/>
      <c r="C47" s="475"/>
      <c r="D47" s="468" t="s">
        <v>83</v>
      </c>
      <c r="E47" s="486" t="s">
        <v>7</v>
      </c>
      <c r="F47" s="461" t="s">
        <v>84</v>
      </c>
      <c r="G47" s="461" t="s">
        <v>85</v>
      </c>
      <c r="H47" s="461" t="s">
        <v>306</v>
      </c>
      <c r="I47" s="461" t="s">
        <v>74</v>
      </c>
      <c r="J47" s="461" t="s">
        <v>14</v>
      </c>
      <c r="K47" s="486" t="s">
        <v>7</v>
      </c>
      <c r="L47" s="461" t="s">
        <v>84</v>
      </c>
      <c r="M47" s="461" t="s">
        <v>85</v>
      </c>
      <c r="N47" s="461" t="s">
        <v>306</v>
      </c>
      <c r="O47" s="461" t="s">
        <v>74</v>
      </c>
      <c r="P47" s="466" t="s">
        <v>14</v>
      </c>
      <c r="Q47" s="471" t="s">
        <v>15</v>
      </c>
      <c r="R47" s="33"/>
      <c r="S47" s="33"/>
      <c r="T47" s="33"/>
      <c r="U47" s="33"/>
    </row>
    <row r="48" spans="1:22">
      <c r="A48" s="469"/>
      <c r="B48" s="476"/>
      <c r="C48" s="476"/>
      <c r="D48" s="470"/>
      <c r="E48" s="469"/>
      <c r="F48" s="464"/>
      <c r="G48" s="464"/>
      <c r="H48" s="464"/>
      <c r="I48" s="464"/>
      <c r="J48" s="464"/>
      <c r="K48" s="469"/>
      <c r="L48" s="464"/>
      <c r="M48" s="464"/>
      <c r="N48" s="464"/>
      <c r="O48" s="464"/>
      <c r="P48" s="467"/>
      <c r="Q48" s="472"/>
      <c r="R48" s="33"/>
      <c r="S48" s="33"/>
      <c r="T48" s="33"/>
      <c r="U48" s="33"/>
    </row>
    <row r="49" spans="1:21">
      <c r="A49" s="469"/>
      <c r="B49" s="476"/>
      <c r="C49" s="476"/>
      <c r="D49" s="470"/>
      <c r="E49" s="469"/>
      <c r="F49" s="464"/>
      <c r="G49" s="464"/>
      <c r="H49" s="464"/>
      <c r="I49" s="464"/>
      <c r="J49" s="464"/>
      <c r="K49" s="469"/>
      <c r="L49" s="464"/>
      <c r="M49" s="464"/>
      <c r="N49" s="464"/>
      <c r="O49" s="464"/>
      <c r="P49" s="467"/>
      <c r="Q49" s="472"/>
      <c r="R49" s="33"/>
      <c r="S49" s="33"/>
      <c r="T49" s="33"/>
      <c r="U49" s="33"/>
    </row>
    <row r="50" spans="1:21">
      <c r="A50" s="502" t="s">
        <v>86</v>
      </c>
      <c r="B50" s="503"/>
      <c r="C50" s="503"/>
      <c r="D50" s="264" t="s">
        <v>87</v>
      </c>
      <c r="E50" s="276">
        <f t="shared" ref="E50:E56" si="5">1202.25*1.015</f>
        <v>1220.2837499999998</v>
      </c>
      <c r="F50" s="275">
        <f>160.59*1.015</f>
        <v>162.99884999999998</v>
      </c>
      <c r="G50" s="275">
        <v>979.93174999999997</v>
      </c>
      <c r="H50" s="275">
        <v>5.38</v>
      </c>
      <c r="I50" s="274">
        <f>E50+F50+G50+H50</f>
        <v>2368.5943499999998</v>
      </c>
      <c r="J50" s="277">
        <f t="shared" ref="J50:J56" si="6">I50</f>
        <v>2368.5943499999998</v>
      </c>
      <c r="K50" s="276">
        <v>1223.2893750000001</v>
      </c>
      <c r="L50" s="275">
        <f>160.59*1.0175</f>
        <v>163.40032500000001</v>
      </c>
      <c r="M50" s="275">
        <v>982.34</v>
      </c>
      <c r="N50" s="275">
        <v>5.38</v>
      </c>
      <c r="O50" s="274">
        <f t="shared" ref="O50:O56" si="7">K50+L50+M50+N50</f>
        <v>2374.4097000000002</v>
      </c>
      <c r="P50" s="273">
        <f t="shared" ref="P50:P56" si="8">O50</f>
        <v>2374.4097000000002</v>
      </c>
      <c r="Q50" s="272">
        <f t="shared" ref="Q50:Q56" si="9">(I50*6)+J50+(O50*6)+P50</f>
        <v>33201.028350000001</v>
      </c>
      <c r="R50" s="33"/>
      <c r="S50" s="33"/>
      <c r="T50" s="33"/>
      <c r="U50" s="33"/>
    </row>
    <row r="51" spans="1:21">
      <c r="A51" s="502" t="s">
        <v>88</v>
      </c>
      <c r="B51" s="503"/>
      <c r="C51" s="503"/>
      <c r="D51" s="264" t="s">
        <v>89</v>
      </c>
      <c r="E51" s="276">
        <f t="shared" si="5"/>
        <v>1220.2837499999998</v>
      </c>
      <c r="F51" s="275">
        <f>160.59*1.015</f>
        <v>162.99884999999998</v>
      </c>
      <c r="G51" s="275">
        <v>1224.4046499999997</v>
      </c>
      <c r="H51" s="275">
        <v>5.38</v>
      </c>
      <c r="I51" s="274">
        <f t="shared" ref="I51:I56" si="10">E51+F51+G51+H51</f>
        <v>2613.0672499999996</v>
      </c>
      <c r="J51" s="277">
        <f t="shared" si="6"/>
        <v>2613.0672499999996</v>
      </c>
      <c r="K51" s="276">
        <v>1223.2893750000001</v>
      </c>
      <c r="L51" s="275">
        <f>160.59*1.0175</f>
        <v>163.40032500000001</v>
      </c>
      <c r="M51" s="275">
        <v>1227.420425</v>
      </c>
      <c r="N51" s="275">
        <v>5.38</v>
      </c>
      <c r="O51" s="274">
        <f t="shared" si="7"/>
        <v>2619.4901250000003</v>
      </c>
      <c r="P51" s="273">
        <f t="shared" si="8"/>
        <v>2619.4901250000003</v>
      </c>
      <c r="Q51" s="272">
        <f t="shared" si="9"/>
        <v>36627.901624999999</v>
      </c>
      <c r="R51" s="33"/>
      <c r="S51" s="33"/>
      <c r="T51" s="33"/>
      <c r="U51" s="33"/>
    </row>
    <row r="52" spans="1:21">
      <c r="A52" s="265" t="s">
        <v>90</v>
      </c>
      <c r="B52" s="244"/>
      <c r="C52" s="244"/>
      <c r="D52" s="264" t="s">
        <v>91</v>
      </c>
      <c r="E52" s="276">
        <f t="shared" si="5"/>
        <v>1220.2837499999998</v>
      </c>
      <c r="F52" s="275">
        <f>160.59*1.015</f>
        <v>162.99884999999998</v>
      </c>
      <c r="G52" s="275">
        <v>1224.4046499999997</v>
      </c>
      <c r="H52" s="275">
        <v>5.38</v>
      </c>
      <c r="I52" s="274">
        <f t="shared" si="10"/>
        <v>2613.0672499999996</v>
      </c>
      <c r="J52" s="277">
        <f t="shared" si="6"/>
        <v>2613.0672499999996</v>
      </c>
      <c r="K52" s="276">
        <v>1223.2893750000001</v>
      </c>
      <c r="L52" s="275">
        <f>160.59*1.0175</f>
        <v>163.40032500000001</v>
      </c>
      <c r="M52" s="275">
        <v>1227.420425</v>
      </c>
      <c r="N52" s="275">
        <v>5.38</v>
      </c>
      <c r="O52" s="274">
        <f t="shared" si="7"/>
        <v>2619.4901250000003</v>
      </c>
      <c r="P52" s="273">
        <f t="shared" si="8"/>
        <v>2619.4901250000003</v>
      </c>
      <c r="Q52" s="272">
        <f t="shared" si="9"/>
        <v>36627.901624999999</v>
      </c>
    </row>
    <row r="53" spans="1:21">
      <c r="A53" s="265" t="s">
        <v>92</v>
      </c>
      <c r="B53" s="244"/>
      <c r="C53" s="244"/>
      <c r="D53" s="278"/>
      <c r="E53" s="276">
        <f t="shared" si="5"/>
        <v>1220.2837499999998</v>
      </c>
      <c r="F53" s="275">
        <f>160.59*1.015</f>
        <v>162.99884999999998</v>
      </c>
      <c r="G53" s="275">
        <v>1794.8346499999998</v>
      </c>
      <c r="H53" s="275">
        <v>5.38</v>
      </c>
      <c r="I53" s="274">
        <f t="shared" si="10"/>
        <v>3183.4972499999994</v>
      </c>
      <c r="J53" s="277">
        <f t="shared" si="6"/>
        <v>3183.4972499999994</v>
      </c>
      <c r="K53" s="276">
        <v>1223.2893750000001</v>
      </c>
      <c r="L53" s="275">
        <f>160.59*1.0175</f>
        <v>163.40032500000001</v>
      </c>
      <c r="M53" s="275">
        <v>1799.25</v>
      </c>
      <c r="N53" s="275">
        <v>5.38</v>
      </c>
      <c r="O53" s="274">
        <f t="shared" si="7"/>
        <v>3191.3197</v>
      </c>
      <c r="P53" s="273">
        <f t="shared" si="8"/>
        <v>3191.3197</v>
      </c>
      <c r="Q53" s="272">
        <f t="shared" si="9"/>
        <v>44623.718649999995</v>
      </c>
    </row>
    <row r="54" spans="1:21">
      <c r="A54" s="515" t="s">
        <v>93</v>
      </c>
      <c r="B54" s="516"/>
      <c r="C54" s="517"/>
      <c r="D54" s="264" t="s">
        <v>94</v>
      </c>
      <c r="E54" s="276">
        <f t="shared" si="5"/>
        <v>1220.2837499999998</v>
      </c>
      <c r="F54" s="275">
        <f>160.59*1.015</f>
        <v>162.99884999999998</v>
      </c>
      <c r="G54" s="275">
        <v>83.575099999999992</v>
      </c>
      <c r="H54" s="275">
        <v>5.38</v>
      </c>
      <c r="I54" s="274">
        <f t="shared" si="10"/>
        <v>1472.2376999999999</v>
      </c>
      <c r="J54" s="277">
        <f t="shared" si="6"/>
        <v>1472.2376999999999</v>
      </c>
      <c r="K54" s="276">
        <v>1223.2893750000001</v>
      </c>
      <c r="L54" s="275">
        <f>160.59*1.0175</f>
        <v>163.40032500000001</v>
      </c>
      <c r="M54" s="275">
        <v>83.79</v>
      </c>
      <c r="N54" s="275">
        <v>5.38</v>
      </c>
      <c r="O54" s="274">
        <f t="shared" si="7"/>
        <v>1475.8597000000002</v>
      </c>
      <c r="P54" s="273">
        <f t="shared" si="8"/>
        <v>1475.8597000000002</v>
      </c>
      <c r="Q54" s="272">
        <f t="shared" si="9"/>
        <v>20636.681800000002</v>
      </c>
    </row>
    <row r="55" spans="1:21">
      <c r="A55" s="245" t="s">
        <v>285</v>
      </c>
      <c r="B55" s="244"/>
      <c r="C55" s="244"/>
      <c r="D55" s="264" t="s">
        <v>95</v>
      </c>
      <c r="E55" s="276">
        <f t="shared" si="5"/>
        <v>1220.2837499999998</v>
      </c>
      <c r="F55" s="275">
        <v>0</v>
      </c>
      <c r="G55" s="275">
        <v>776.21109999999999</v>
      </c>
      <c r="H55" s="275">
        <v>5.38</v>
      </c>
      <c r="I55" s="274">
        <f t="shared" si="10"/>
        <v>2001.8748499999999</v>
      </c>
      <c r="J55" s="277">
        <f t="shared" si="6"/>
        <v>2001.8748499999999</v>
      </c>
      <c r="K55" s="276">
        <v>1223.2893750000001</v>
      </c>
      <c r="L55" s="275">
        <v>0</v>
      </c>
      <c r="M55" s="275">
        <v>778.12295000000006</v>
      </c>
      <c r="N55" s="275">
        <v>5.38</v>
      </c>
      <c r="O55" s="274">
        <f t="shared" si="7"/>
        <v>2006.7923250000003</v>
      </c>
      <c r="P55" s="273">
        <f t="shared" si="8"/>
        <v>2006.7923250000003</v>
      </c>
      <c r="Q55" s="272">
        <f t="shared" si="9"/>
        <v>28060.670225000002</v>
      </c>
    </row>
    <row r="56" spans="1:21" ht="15.75" thickBot="1">
      <c r="A56" s="254" t="s">
        <v>286</v>
      </c>
      <c r="B56" s="253"/>
      <c r="C56" s="253"/>
      <c r="D56" s="260" t="s">
        <v>96</v>
      </c>
      <c r="E56" s="270">
        <f t="shared" si="5"/>
        <v>1220.2837499999998</v>
      </c>
      <c r="F56" s="269">
        <f>160.59*1.015</f>
        <v>162.99884999999998</v>
      </c>
      <c r="G56" s="269">
        <v>776.21109999999999</v>
      </c>
      <c r="H56" s="269">
        <v>5.38</v>
      </c>
      <c r="I56" s="268">
        <f t="shared" si="10"/>
        <v>2164.8737000000001</v>
      </c>
      <c r="J56" s="271">
        <f t="shared" si="6"/>
        <v>2164.8737000000001</v>
      </c>
      <c r="K56" s="270">
        <v>1223.2893750000001</v>
      </c>
      <c r="L56" s="269">
        <f>160.59*1.0175</f>
        <v>163.40032500000001</v>
      </c>
      <c r="M56" s="269">
        <v>778.12295000000006</v>
      </c>
      <c r="N56" s="269">
        <v>5.38</v>
      </c>
      <c r="O56" s="268">
        <f t="shared" si="7"/>
        <v>2170.1926500000004</v>
      </c>
      <c r="P56" s="267">
        <f t="shared" si="8"/>
        <v>2170.1926500000004</v>
      </c>
      <c r="Q56" s="266">
        <f t="shared" si="9"/>
        <v>30345.464450000003</v>
      </c>
    </row>
    <row r="57" spans="1:21">
      <c r="A57" s="33"/>
      <c r="B57" s="10"/>
      <c r="C57" s="10"/>
      <c r="D57" s="53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0"/>
    </row>
    <row r="59" spans="1:21" ht="18.75">
      <c r="A59" s="63" t="s">
        <v>309</v>
      </c>
      <c r="B59" s="63"/>
      <c r="C59" s="63"/>
      <c r="D59" s="63"/>
      <c r="E59" s="63"/>
      <c r="F59" s="63"/>
      <c r="G59" s="63"/>
    </row>
    <row r="60" spans="1:21" ht="18.75">
      <c r="A60" s="63"/>
      <c r="B60" s="63"/>
      <c r="C60" s="63"/>
      <c r="D60" s="63"/>
      <c r="E60" s="63"/>
      <c r="F60" s="63"/>
      <c r="G60" s="63"/>
    </row>
    <row r="61" spans="1:21">
      <c r="A61" s="66" t="s">
        <v>31</v>
      </c>
    </row>
    <row r="62" spans="1:21" ht="15.75" thickBot="1">
      <c r="A62" s="66"/>
    </row>
    <row r="63" spans="1:21" ht="15.75" thickBot="1">
      <c r="D63" s="433" t="s">
        <v>289</v>
      </c>
      <c r="E63" s="434"/>
      <c r="F63" s="434"/>
      <c r="G63" s="434"/>
      <c r="H63" s="454"/>
      <c r="I63" s="491" t="s">
        <v>288</v>
      </c>
      <c r="J63" s="492"/>
      <c r="K63" s="492"/>
      <c r="L63" s="492"/>
      <c r="M63" s="493"/>
      <c r="N63" s="60"/>
      <c r="O63" s="60"/>
      <c r="P63" s="60"/>
    </row>
    <row r="64" spans="1:21" ht="15" customHeight="1">
      <c r="A64" s="486" t="s">
        <v>68</v>
      </c>
      <c r="B64" s="475"/>
      <c r="C64" s="468" t="s">
        <v>69</v>
      </c>
      <c r="D64" s="456" t="s">
        <v>7</v>
      </c>
      <c r="E64" s="461" t="s">
        <v>85</v>
      </c>
      <c r="F64" s="461" t="s">
        <v>306</v>
      </c>
      <c r="G64" s="461" t="s">
        <v>74</v>
      </c>
      <c r="H64" s="462" t="s">
        <v>14</v>
      </c>
      <c r="I64" s="486" t="s">
        <v>7</v>
      </c>
      <c r="J64" s="461" t="s">
        <v>85</v>
      </c>
      <c r="K64" s="461" t="s">
        <v>306</v>
      </c>
      <c r="L64" s="461" t="s">
        <v>74</v>
      </c>
      <c r="M64" s="462" t="s">
        <v>14</v>
      </c>
      <c r="N64" s="494" t="s">
        <v>15</v>
      </c>
      <c r="O64" s="33"/>
    </row>
    <row r="65" spans="1:15" ht="15" customHeight="1">
      <c r="A65" s="469"/>
      <c r="B65" s="476"/>
      <c r="C65" s="470"/>
      <c r="D65" s="457"/>
      <c r="E65" s="464"/>
      <c r="F65" s="464"/>
      <c r="G65" s="464"/>
      <c r="H65" s="465"/>
      <c r="I65" s="469"/>
      <c r="J65" s="464"/>
      <c r="K65" s="464"/>
      <c r="L65" s="464"/>
      <c r="M65" s="465"/>
      <c r="N65" s="495"/>
      <c r="O65" s="33"/>
    </row>
    <row r="66" spans="1:15">
      <c r="A66" s="469"/>
      <c r="B66" s="476"/>
      <c r="C66" s="470"/>
      <c r="D66" s="457"/>
      <c r="E66" s="464"/>
      <c r="F66" s="464"/>
      <c r="G66" s="464"/>
      <c r="H66" s="465"/>
      <c r="I66" s="469"/>
      <c r="J66" s="464"/>
      <c r="K66" s="464"/>
      <c r="L66" s="464"/>
      <c r="M66" s="465"/>
      <c r="N66" s="495"/>
    </row>
    <row r="67" spans="1:15">
      <c r="A67" s="265" t="s">
        <v>97</v>
      </c>
      <c r="B67" s="244"/>
      <c r="C67" s="264" t="s">
        <v>98</v>
      </c>
      <c r="D67" s="263">
        <v>479.68899999999996</v>
      </c>
      <c r="E67" s="213">
        <v>85.036699999999996</v>
      </c>
      <c r="F67" s="210">
        <v>4.71</v>
      </c>
      <c r="G67" s="209">
        <f t="shared" ref="G67:G95" si="11">D67+E67+F67</f>
        <v>569.4357</v>
      </c>
      <c r="H67" s="262">
        <v>479.68900000000002</v>
      </c>
      <c r="I67" s="214">
        <v>480.87050000000005</v>
      </c>
      <c r="J67" s="210">
        <v>85.24615</v>
      </c>
      <c r="K67" s="210">
        <v>4.71</v>
      </c>
      <c r="L67" s="209">
        <f t="shared" ref="L67:L95" si="12">I67+J67+K67</f>
        <v>570.82665000000009</v>
      </c>
      <c r="M67" s="240">
        <v>480.87</v>
      </c>
      <c r="N67" s="207">
        <f>(G67*6)+H67+(L67*6)+M67</f>
        <v>7802.1331</v>
      </c>
    </row>
    <row r="68" spans="1:15">
      <c r="A68" s="265" t="s">
        <v>97</v>
      </c>
      <c r="B68" s="244"/>
      <c r="C68" s="264" t="s">
        <v>99</v>
      </c>
      <c r="D68" s="263">
        <v>399.74759999999992</v>
      </c>
      <c r="E68" s="213">
        <v>70.849999999999994</v>
      </c>
      <c r="F68" s="210">
        <v>3.93</v>
      </c>
      <c r="G68" s="209">
        <f t="shared" si="11"/>
        <v>474.52759999999995</v>
      </c>
      <c r="H68" s="262">
        <v>399.74759999999992</v>
      </c>
      <c r="I68" s="214">
        <v>400.73219999999998</v>
      </c>
      <c r="J68" s="210">
        <v>71.02</v>
      </c>
      <c r="K68" s="210">
        <v>3.14</v>
      </c>
      <c r="L68" s="209">
        <f t="shared" si="12"/>
        <v>474.89219999999995</v>
      </c>
      <c r="M68" s="240">
        <v>400.73219999999998</v>
      </c>
      <c r="N68" s="207">
        <f t="shared" ref="N68:N95" si="13">(G68*6)+H68+(L68*6)+M68</f>
        <v>6496.9985999999999</v>
      </c>
    </row>
    <row r="69" spans="1:15">
      <c r="A69" s="265" t="s">
        <v>97</v>
      </c>
      <c r="B69" s="244"/>
      <c r="C69" s="264" t="s">
        <v>100</v>
      </c>
      <c r="D69" s="263">
        <v>319.78589999999997</v>
      </c>
      <c r="E69" s="213">
        <v>56.68</v>
      </c>
      <c r="F69" s="210">
        <v>3.14</v>
      </c>
      <c r="G69" s="209">
        <f t="shared" si="11"/>
        <v>379.60589999999996</v>
      </c>
      <c r="H69" s="262">
        <v>319.78589999999997</v>
      </c>
      <c r="I69" s="214">
        <v>320.58</v>
      </c>
      <c r="J69" s="210">
        <v>56.82</v>
      </c>
      <c r="K69" s="210">
        <v>3.14</v>
      </c>
      <c r="L69" s="209">
        <f t="shared" si="12"/>
        <v>380.53999999999996</v>
      </c>
      <c r="M69" s="240">
        <v>320.58</v>
      </c>
      <c r="N69" s="207">
        <f t="shared" si="13"/>
        <v>5201.2412999999997</v>
      </c>
    </row>
    <row r="70" spans="1:15">
      <c r="A70" s="265" t="s">
        <v>97</v>
      </c>
      <c r="B70" s="244"/>
      <c r="C70" s="264" t="s">
        <v>101</v>
      </c>
      <c r="D70" s="263">
        <v>239.84449999999998</v>
      </c>
      <c r="E70" s="213">
        <v>42.498049999999992</v>
      </c>
      <c r="F70" s="210">
        <v>2.36</v>
      </c>
      <c r="G70" s="209">
        <f t="shared" si="11"/>
        <v>284.70254999999997</v>
      </c>
      <c r="H70" s="262">
        <v>239.84449999999998</v>
      </c>
      <c r="I70" s="214">
        <v>240.43</v>
      </c>
      <c r="J70" s="210">
        <v>42.602725</v>
      </c>
      <c r="K70" s="210">
        <v>2.36</v>
      </c>
      <c r="L70" s="209">
        <f t="shared" si="12"/>
        <v>285.39272500000004</v>
      </c>
      <c r="M70" s="240">
        <v>240.43</v>
      </c>
      <c r="N70" s="207">
        <f t="shared" si="13"/>
        <v>3900.8461499999999</v>
      </c>
    </row>
    <row r="71" spans="1:15">
      <c r="A71" s="265" t="s">
        <v>97</v>
      </c>
      <c r="B71" s="244"/>
      <c r="C71" s="264" t="s">
        <v>102</v>
      </c>
      <c r="D71" s="263">
        <v>159.8828</v>
      </c>
      <c r="E71" s="213">
        <v>28.338799999999999</v>
      </c>
      <c r="F71" s="210">
        <v>1.57</v>
      </c>
      <c r="G71" s="209">
        <f t="shared" si="11"/>
        <v>189.79159999999999</v>
      </c>
      <c r="H71" s="262">
        <v>159.8828</v>
      </c>
      <c r="I71" s="214">
        <v>160.27000000000001</v>
      </c>
      <c r="J71" s="210">
        <v>28.408600000000003</v>
      </c>
      <c r="K71" s="210">
        <v>1.57</v>
      </c>
      <c r="L71" s="209">
        <f t="shared" si="12"/>
        <v>190.24860000000001</v>
      </c>
      <c r="M71" s="240">
        <v>160.27000000000001</v>
      </c>
      <c r="N71" s="207">
        <f t="shared" si="13"/>
        <v>2600.3939999999998</v>
      </c>
    </row>
    <row r="72" spans="1:15" ht="15.75" thickBot="1">
      <c r="A72" s="261" t="s">
        <v>97</v>
      </c>
      <c r="B72" s="253"/>
      <c r="C72" s="260" t="s">
        <v>103</v>
      </c>
      <c r="D72" s="202">
        <v>79.941400000000002</v>
      </c>
      <c r="E72" s="205">
        <v>14.179549999999999</v>
      </c>
      <c r="F72" s="200">
        <v>0.79</v>
      </c>
      <c r="G72" s="199">
        <f t="shared" si="11"/>
        <v>94.91095</v>
      </c>
      <c r="H72" s="259">
        <v>79.941400000000002</v>
      </c>
      <c r="I72" s="201">
        <v>80.138300000000015</v>
      </c>
      <c r="J72" s="200">
        <v>14.214475000000002</v>
      </c>
      <c r="K72" s="200">
        <v>0.79</v>
      </c>
      <c r="L72" s="199">
        <f t="shared" si="12"/>
        <v>95.142775000000029</v>
      </c>
      <c r="M72" s="234">
        <v>80.138300000000015</v>
      </c>
      <c r="N72" s="197">
        <f t="shared" si="13"/>
        <v>1300.4020500000001</v>
      </c>
    </row>
    <row r="73" spans="1:15">
      <c r="A73" s="251" t="s">
        <v>104</v>
      </c>
      <c r="B73" s="250"/>
      <c r="C73" s="256" t="s">
        <v>98</v>
      </c>
      <c r="D73" s="229">
        <v>599.60109999999997</v>
      </c>
      <c r="E73" s="231">
        <v>106.30095</v>
      </c>
      <c r="F73" s="228">
        <v>4.71</v>
      </c>
      <c r="G73" s="227">
        <f t="shared" si="11"/>
        <v>710.61204999999995</v>
      </c>
      <c r="H73" s="248">
        <v>599.60109999999997</v>
      </c>
      <c r="I73" s="258">
        <v>601.0779500000001</v>
      </c>
      <c r="J73" s="228">
        <v>106.56277500000002</v>
      </c>
      <c r="K73" s="228">
        <v>4.71</v>
      </c>
      <c r="L73" s="227">
        <f t="shared" si="12"/>
        <v>712.35072500000012</v>
      </c>
      <c r="M73" s="257">
        <v>601.0779500000001</v>
      </c>
      <c r="N73" s="225">
        <f t="shared" si="13"/>
        <v>9738.4557000000004</v>
      </c>
    </row>
    <row r="74" spans="1:15">
      <c r="A74" s="245" t="s">
        <v>104</v>
      </c>
      <c r="B74" s="244"/>
      <c r="C74" s="255" t="s">
        <v>99</v>
      </c>
      <c r="D74" s="214">
        <v>499.66419999999994</v>
      </c>
      <c r="E74" s="213">
        <v>88.558749999999989</v>
      </c>
      <c r="F74" s="210">
        <v>3.93</v>
      </c>
      <c r="G74" s="209">
        <f t="shared" si="11"/>
        <v>592.15294999999992</v>
      </c>
      <c r="H74" s="242">
        <v>499.66419999999994</v>
      </c>
      <c r="I74" s="241">
        <v>500.89490000000001</v>
      </c>
      <c r="J74" s="210">
        <v>88.776875000000004</v>
      </c>
      <c r="K74" s="210">
        <v>3.93</v>
      </c>
      <c r="L74" s="209">
        <f t="shared" si="12"/>
        <v>593.60177499999998</v>
      </c>
      <c r="M74" s="240">
        <v>500.89490000000001</v>
      </c>
      <c r="N74" s="207">
        <f t="shared" si="13"/>
        <v>8115.0874499999991</v>
      </c>
    </row>
    <row r="75" spans="1:15">
      <c r="A75" s="245" t="s">
        <v>104</v>
      </c>
      <c r="B75" s="244"/>
      <c r="C75" s="255" t="s">
        <v>100</v>
      </c>
      <c r="D75" s="214">
        <v>399.74759999999992</v>
      </c>
      <c r="E75" s="213">
        <v>70.846999999999994</v>
      </c>
      <c r="F75" s="210">
        <v>3.14</v>
      </c>
      <c r="G75" s="209">
        <f t="shared" si="11"/>
        <v>473.73459999999989</v>
      </c>
      <c r="H75" s="242">
        <v>399.74759999999992</v>
      </c>
      <c r="I75" s="241">
        <v>400.73219999999998</v>
      </c>
      <c r="J75" s="210">
        <v>71.021500000000003</v>
      </c>
      <c r="K75" s="210">
        <v>3.14</v>
      </c>
      <c r="L75" s="209">
        <f t="shared" si="12"/>
        <v>474.89369999999997</v>
      </c>
      <c r="M75" s="240">
        <v>400.73219999999998</v>
      </c>
      <c r="N75" s="207">
        <f t="shared" si="13"/>
        <v>6492.2495999999992</v>
      </c>
    </row>
    <row r="76" spans="1:15">
      <c r="A76" s="245" t="s">
        <v>104</v>
      </c>
      <c r="B76" s="244"/>
      <c r="C76" s="255" t="s">
        <v>101</v>
      </c>
      <c r="D76" s="214">
        <v>299.80054999999999</v>
      </c>
      <c r="E76" s="213">
        <v>53.145399999999995</v>
      </c>
      <c r="F76" s="210">
        <v>2.36</v>
      </c>
      <c r="G76" s="209">
        <f t="shared" si="11"/>
        <v>355.30595</v>
      </c>
      <c r="H76" s="242">
        <v>299.80054999999999</v>
      </c>
      <c r="I76" s="241">
        <v>300.53897500000005</v>
      </c>
      <c r="J76" s="210">
        <v>53.276300000000006</v>
      </c>
      <c r="K76" s="210">
        <v>2.36</v>
      </c>
      <c r="L76" s="209">
        <f t="shared" si="12"/>
        <v>356.17527500000006</v>
      </c>
      <c r="M76" s="240">
        <v>300.53897500000005</v>
      </c>
      <c r="N76" s="207">
        <f t="shared" si="13"/>
        <v>4869.2268750000012</v>
      </c>
    </row>
    <row r="77" spans="1:15">
      <c r="A77" s="245" t="s">
        <v>104</v>
      </c>
      <c r="B77" s="244"/>
      <c r="C77" s="255" t="s">
        <v>102</v>
      </c>
      <c r="D77" s="214">
        <v>199.87379999999996</v>
      </c>
      <c r="E77" s="213">
        <v>35.423499999999997</v>
      </c>
      <c r="F77" s="210">
        <v>1.57</v>
      </c>
      <c r="G77" s="209">
        <f t="shared" si="11"/>
        <v>236.86729999999994</v>
      </c>
      <c r="H77" s="242">
        <v>199.87379999999996</v>
      </c>
      <c r="I77" s="241">
        <v>200.36</v>
      </c>
      <c r="J77" s="210">
        <v>35.510750000000002</v>
      </c>
      <c r="K77" s="210">
        <v>1.57</v>
      </c>
      <c r="L77" s="209">
        <f t="shared" si="12"/>
        <v>237.44075000000001</v>
      </c>
      <c r="M77" s="240">
        <v>200.36</v>
      </c>
      <c r="N77" s="207">
        <f t="shared" si="13"/>
        <v>3246.0821000000001</v>
      </c>
    </row>
    <row r="78" spans="1:15" ht="15.75" thickBot="1">
      <c r="A78" s="254" t="s">
        <v>104</v>
      </c>
      <c r="B78" s="253"/>
      <c r="C78" s="252" t="s">
        <v>103</v>
      </c>
      <c r="D78" s="201">
        <v>99.94</v>
      </c>
      <c r="E78" s="205">
        <v>17.711749999999999</v>
      </c>
      <c r="F78" s="200">
        <v>0.79</v>
      </c>
      <c r="G78" s="199">
        <f t="shared" si="11"/>
        <v>118.44175</v>
      </c>
      <c r="H78" s="237">
        <v>99.94</v>
      </c>
      <c r="I78" s="236">
        <v>100.19</v>
      </c>
      <c r="J78" s="200">
        <v>17.75</v>
      </c>
      <c r="K78" s="200">
        <v>0.79</v>
      </c>
      <c r="L78" s="199">
        <f t="shared" si="12"/>
        <v>118.73</v>
      </c>
      <c r="M78" s="234">
        <v>100.19</v>
      </c>
      <c r="N78" s="197">
        <f t="shared" si="13"/>
        <v>1623.1605</v>
      </c>
    </row>
    <row r="79" spans="1:15">
      <c r="A79" s="251" t="s">
        <v>105</v>
      </c>
      <c r="B79" s="250"/>
      <c r="C79" s="256" t="s">
        <v>98</v>
      </c>
      <c r="D79" s="229">
        <v>699.54814999999996</v>
      </c>
      <c r="E79" s="231">
        <v>173.65634999999997</v>
      </c>
      <c r="F79" s="228">
        <v>4.71</v>
      </c>
      <c r="G79" s="227">
        <f t="shared" si="11"/>
        <v>877.91449999999998</v>
      </c>
      <c r="H79" s="248">
        <v>699.54814999999996</v>
      </c>
      <c r="I79" s="247">
        <v>701.27117500000008</v>
      </c>
      <c r="J79" s="228">
        <v>174.09</v>
      </c>
      <c r="K79" s="228">
        <v>4.71</v>
      </c>
      <c r="L79" s="227">
        <f t="shared" si="12"/>
        <v>880.07117500000015</v>
      </c>
      <c r="M79" s="246">
        <v>701.27117500000008</v>
      </c>
      <c r="N79" s="225">
        <f t="shared" si="13"/>
        <v>11948.733375000002</v>
      </c>
    </row>
    <row r="80" spans="1:15">
      <c r="A80" s="245" t="s">
        <v>105</v>
      </c>
      <c r="B80" s="244"/>
      <c r="C80" s="255" t="s">
        <v>99</v>
      </c>
      <c r="D80" s="214">
        <v>582.94494999999995</v>
      </c>
      <c r="E80" s="213">
        <v>144.69839999999999</v>
      </c>
      <c r="F80" s="210">
        <v>3.93</v>
      </c>
      <c r="G80" s="209">
        <f t="shared" si="11"/>
        <v>731.57334999999989</v>
      </c>
      <c r="H80" s="242">
        <v>582.94494999999995</v>
      </c>
      <c r="I80" s="241">
        <v>584.38077500000009</v>
      </c>
      <c r="J80" s="210">
        <v>145.06</v>
      </c>
      <c r="K80" s="210">
        <v>3.93</v>
      </c>
      <c r="L80" s="209">
        <f t="shared" si="12"/>
        <v>733.37077499999998</v>
      </c>
      <c r="M80" s="240">
        <v>584.38077500000009</v>
      </c>
      <c r="N80" s="207">
        <f t="shared" si="13"/>
        <v>9956.9904750000005</v>
      </c>
    </row>
    <row r="81" spans="1:14">
      <c r="A81" s="245" t="s">
        <v>105</v>
      </c>
      <c r="B81" s="244"/>
      <c r="C81" s="255" t="s">
        <v>100</v>
      </c>
      <c r="D81" s="214">
        <v>466.35189999999994</v>
      </c>
      <c r="E81" s="213">
        <v>115.78104999999998</v>
      </c>
      <c r="F81" s="210">
        <v>3.14</v>
      </c>
      <c r="G81" s="209">
        <f t="shared" si="11"/>
        <v>585.27294999999992</v>
      </c>
      <c r="H81" s="242">
        <v>466.35189999999994</v>
      </c>
      <c r="I81" s="241">
        <v>467.50055000000003</v>
      </c>
      <c r="J81" s="210">
        <v>116.066225</v>
      </c>
      <c r="K81" s="210">
        <v>3.14</v>
      </c>
      <c r="L81" s="209">
        <f t="shared" si="12"/>
        <v>586.70677499999999</v>
      </c>
      <c r="M81" s="240">
        <v>467.50055000000003</v>
      </c>
      <c r="N81" s="207">
        <f t="shared" si="13"/>
        <v>7965.7307999999985</v>
      </c>
    </row>
    <row r="82" spans="1:14">
      <c r="A82" s="245" t="s">
        <v>105</v>
      </c>
      <c r="B82" s="244"/>
      <c r="C82" s="255" t="s">
        <v>101</v>
      </c>
      <c r="D82" s="214">
        <v>349.76900000000001</v>
      </c>
      <c r="E82" s="213">
        <v>86.823099999999997</v>
      </c>
      <c r="F82" s="210">
        <v>2.36</v>
      </c>
      <c r="G82" s="209">
        <f t="shared" si="11"/>
        <v>438.95210000000003</v>
      </c>
      <c r="H82" s="242">
        <v>349.76900000000001</v>
      </c>
      <c r="I82" s="241">
        <v>350.63050000000004</v>
      </c>
      <c r="J82" s="210">
        <v>87.03</v>
      </c>
      <c r="K82" s="210">
        <v>2.36</v>
      </c>
      <c r="L82" s="209">
        <f t="shared" si="12"/>
        <v>440.02050000000008</v>
      </c>
      <c r="M82" s="240">
        <v>350.63050000000004</v>
      </c>
      <c r="N82" s="207">
        <f t="shared" si="13"/>
        <v>5974.2351000000008</v>
      </c>
    </row>
    <row r="83" spans="1:14">
      <c r="A83" s="245" t="s">
        <v>105</v>
      </c>
      <c r="B83" s="244"/>
      <c r="C83" s="255" t="s">
        <v>102</v>
      </c>
      <c r="D83" s="214">
        <v>233.17594999999997</v>
      </c>
      <c r="E83" s="213">
        <v>57.885449999999999</v>
      </c>
      <c r="F83" s="210">
        <v>1.57</v>
      </c>
      <c r="G83" s="209">
        <f t="shared" si="11"/>
        <v>292.63139999999999</v>
      </c>
      <c r="H83" s="242">
        <v>233.17594999999997</v>
      </c>
      <c r="I83" s="241">
        <v>233.75027500000002</v>
      </c>
      <c r="J83" s="210">
        <v>58.028025000000007</v>
      </c>
      <c r="K83" s="210">
        <v>1.57</v>
      </c>
      <c r="L83" s="209">
        <f t="shared" si="12"/>
        <v>293.34829999999999</v>
      </c>
      <c r="M83" s="240">
        <v>233.75027500000002</v>
      </c>
      <c r="N83" s="207">
        <f t="shared" si="13"/>
        <v>3982.8044249999998</v>
      </c>
    </row>
    <row r="84" spans="1:14" ht="15.75" thickBot="1">
      <c r="A84" s="254" t="s">
        <v>105</v>
      </c>
      <c r="B84" s="253"/>
      <c r="C84" s="252" t="s">
        <v>103</v>
      </c>
      <c r="D84" s="201">
        <v>116.5829</v>
      </c>
      <c r="E84" s="205">
        <v>28.937649999999998</v>
      </c>
      <c r="F84" s="200">
        <v>0.79</v>
      </c>
      <c r="G84" s="199">
        <f t="shared" si="11"/>
        <v>146.31054999999998</v>
      </c>
      <c r="H84" s="237">
        <v>116.5829</v>
      </c>
      <c r="I84" s="236">
        <v>116.87005000000001</v>
      </c>
      <c r="J84" s="200">
        <v>29.008925000000005</v>
      </c>
      <c r="K84" s="200">
        <v>0.79</v>
      </c>
      <c r="L84" s="199">
        <f t="shared" si="12"/>
        <v>146.66897500000002</v>
      </c>
      <c r="M84" s="234">
        <v>116.87005000000001</v>
      </c>
      <c r="N84" s="197">
        <f t="shared" si="13"/>
        <v>1991.3300999999999</v>
      </c>
    </row>
    <row r="85" spans="1:14">
      <c r="A85" s="251" t="s">
        <v>106</v>
      </c>
      <c r="B85" s="250"/>
      <c r="C85" s="256" t="s">
        <v>98</v>
      </c>
      <c r="D85" s="229">
        <v>1051.4689499999999</v>
      </c>
      <c r="E85" s="231">
        <v>336.42174999999997</v>
      </c>
      <c r="F85" s="228">
        <v>4.71</v>
      </c>
      <c r="G85" s="227">
        <f t="shared" si="11"/>
        <v>1392.6007</v>
      </c>
      <c r="H85" s="248">
        <v>1051.4689499999999</v>
      </c>
      <c r="I85" s="247">
        <v>1054.0587750000002</v>
      </c>
      <c r="J85" s="228">
        <v>337.25037500000002</v>
      </c>
      <c r="K85" s="228">
        <v>4.71</v>
      </c>
      <c r="L85" s="227">
        <f t="shared" si="12"/>
        <v>1396.0191500000003</v>
      </c>
      <c r="M85" s="246">
        <v>1054.0587750000002</v>
      </c>
      <c r="N85" s="225">
        <f t="shared" si="13"/>
        <v>18837.246825000006</v>
      </c>
    </row>
    <row r="86" spans="1:14">
      <c r="A86" s="245" t="s">
        <v>106</v>
      </c>
      <c r="B86" s="244"/>
      <c r="C86" s="255" t="s">
        <v>99</v>
      </c>
      <c r="D86" s="214">
        <v>876.20889999999986</v>
      </c>
      <c r="E86" s="213">
        <v>280.34299999999996</v>
      </c>
      <c r="F86" s="210">
        <v>3.93</v>
      </c>
      <c r="G86" s="209">
        <f t="shared" si="11"/>
        <v>1160.4819</v>
      </c>
      <c r="H86" s="242">
        <v>876.20889999999986</v>
      </c>
      <c r="I86" s="241">
        <v>878.36705000000006</v>
      </c>
      <c r="J86" s="210">
        <v>281.0335</v>
      </c>
      <c r="K86" s="210">
        <v>3.93</v>
      </c>
      <c r="L86" s="209">
        <f t="shared" si="12"/>
        <v>1163.3305500000001</v>
      </c>
      <c r="M86" s="240">
        <v>878.36705000000006</v>
      </c>
      <c r="N86" s="207">
        <f t="shared" si="13"/>
        <v>15697.450650000002</v>
      </c>
    </row>
    <row r="87" spans="1:14">
      <c r="A87" s="245" t="s">
        <v>106</v>
      </c>
      <c r="B87" s="244"/>
      <c r="C87" s="255" t="s">
        <v>100</v>
      </c>
      <c r="D87" s="214">
        <v>700.94884999999999</v>
      </c>
      <c r="E87" s="213">
        <v>224.27439999999999</v>
      </c>
      <c r="F87" s="210">
        <v>3.14</v>
      </c>
      <c r="G87" s="209">
        <f t="shared" si="11"/>
        <v>928.36324999999999</v>
      </c>
      <c r="H87" s="242">
        <v>700.94884999999999</v>
      </c>
      <c r="I87" s="241">
        <v>702.67532500000004</v>
      </c>
      <c r="J87" s="210">
        <v>224.82</v>
      </c>
      <c r="K87" s="210">
        <v>3.14</v>
      </c>
      <c r="L87" s="209">
        <f t="shared" si="12"/>
        <v>930.63532500000008</v>
      </c>
      <c r="M87" s="240">
        <v>702.67532500000004</v>
      </c>
      <c r="N87" s="207">
        <f t="shared" si="13"/>
        <v>12557.615625</v>
      </c>
    </row>
    <row r="88" spans="1:14">
      <c r="A88" s="245" t="s">
        <v>106</v>
      </c>
      <c r="B88" s="244"/>
      <c r="C88" s="255" t="s">
        <v>101</v>
      </c>
      <c r="D88" s="214">
        <v>525.73955000000001</v>
      </c>
      <c r="E88" s="213">
        <v>168.20579999999998</v>
      </c>
      <c r="F88" s="210">
        <v>2.36</v>
      </c>
      <c r="G88" s="209">
        <f t="shared" si="11"/>
        <v>696.30534999999998</v>
      </c>
      <c r="H88" s="242">
        <v>525.73955000000001</v>
      </c>
      <c r="I88" s="241">
        <v>527.03447500000004</v>
      </c>
      <c r="J88" s="210">
        <v>168.62010000000001</v>
      </c>
      <c r="K88" s="210">
        <v>2.36</v>
      </c>
      <c r="L88" s="209">
        <f t="shared" si="12"/>
        <v>698.01457500000004</v>
      </c>
      <c r="M88" s="240">
        <v>527.03447500000004</v>
      </c>
      <c r="N88" s="207">
        <f t="shared" si="13"/>
        <v>9418.6935750000011</v>
      </c>
    </row>
    <row r="89" spans="1:14">
      <c r="A89" s="245" t="s">
        <v>106</v>
      </c>
      <c r="B89" s="244"/>
      <c r="C89" s="255" t="s">
        <v>102</v>
      </c>
      <c r="D89" s="214">
        <v>350.46934999999996</v>
      </c>
      <c r="E89" s="213">
        <v>112.12704999999998</v>
      </c>
      <c r="F89" s="210">
        <v>1.57</v>
      </c>
      <c r="G89" s="209">
        <f t="shared" si="11"/>
        <v>464.16639999999995</v>
      </c>
      <c r="H89" s="242">
        <v>350.46934999999996</v>
      </c>
      <c r="I89" s="241">
        <v>351.33257500000002</v>
      </c>
      <c r="J89" s="210">
        <v>112.41</v>
      </c>
      <c r="K89" s="210">
        <v>1.57</v>
      </c>
      <c r="L89" s="209">
        <f t="shared" si="12"/>
        <v>465.31257499999998</v>
      </c>
      <c r="M89" s="240">
        <v>351.33257500000002</v>
      </c>
      <c r="N89" s="207">
        <f t="shared" si="13"/>
        <v>6278.6757749999997</v>
      </c>
    </row>
    <row r="90" spans="1:14" ht="15.75" thickBot="1">
      <c r="A90" s="254" t="s">
        <v>106</v>
      </c>
      <c r="B90" s="253"/>
      <c r="C90" s="252" t="s">
        <v>103</v>
      </c>
      <c r="D90" s="201">
        <v>175.23974999999999</v>
      </c>
      <c r="E90" s="205">
        <v>56.068599999999996</v>
      </c>
      <c r="F90" s="200">
        <v>0.79</v>
      </c>
      <c r="G90" s="199">
        <f t="shared" si="11"/>
        <v>232.09834999999998</v>
      </c>
      <c r="H90" s="237">
        <v>175.23974999999999</v>
      </c>
      <c r="I90" s="236">
        <v>175.68</v>
      </c>
      <c r="J90" s="200">
        <v>56.206700000000005</v>
      </c>
      <c r="K90" s="200">
        <v>0.79</v>
      </c>
      <c r="L90" s="199">
        <f t="shared" si="12"/>
        <v>232.67670000000001</v>
      </c>
      <c r="M90" s="234">
        <v>175.67137500000001</v>
      </c>
      <c r="N90" s="197">
        <f t="shared" si="13"/>
        <v>3139.5614249999999</v>
      </c>
    </row>
    <row r="91" spans="1:14">
      <c r="A91" s="251" t="s">
        <v>107</v>
      </c>
      <c r="B91" s="250"/>
      <c r="C91" s="249" t="s">
        <v>101</v>
      </c>
      <c r="D91" s="229">
        <v>239.84449999999998</v>
      </c>
      <c r="E91" s="231">
        <v>42.498049999999992</v>
      </c>
      <c r="F91" s="228">
        <v>2.36</v>
      </c>
      <c r="G91" s="227">
        <f t="shared" si="11"/>
        <v>284.70254999999997</v>
      </c>
      <c r="H91" s="248">
        <v>0</v>
      </c>
      <c r="I91" s="247">
        <v>240.43</v>
      </c>
      <c r="J91" s="228">
        <v>42.602725</v>
      </c>
      <c r="K91" s="228">
        <v>2.36</v>
      </c>
      <c r="L91" s="227">
        <f t="shared" si="12"/>
        <v>285.39272500000004</v>
      </c>
      <c r="M91" s="246">
        <v>0</v>
      </c>
      <c r="N91" s="225">
        <f t="shared" si="13"/>
        <v>3420.5716499999999</v>
      </c>
    </row>
    <row r="92" spans="1:14">
      <c r="A92" s="245" t="s">
        <v>108</v>
      </c>
      <c r="B92" s="244"/>
      <c r="C92" s="243" t="s">
        <v>101</v>
      </c>
      <c r="D92" s="214">
        <v>239.84449999999998</v>
      </c>
      <c r="E92" s="213">
        <v>42.498049999999992</v>
      </c>
      <c r="F92" s="219">
        <v>2.36</v>
      </c>
      <c r="G92" s="218">
        <f t="shared" si="11"/>
        <v>284.70254999999997</v>
      </c>
      <c r="H92" s="242">
        <v>0</v>
      </c>
      <c r="I92" s="241">
        <v>240.43</v>
      </c>
      <c r="J92" s="210">
        <v>42.602725</v>
      </c>
      <c r="K92" s="219">
        <v>2.36</v>
      </c>
      <c r="L92" s="209">
        <f t="shared" si="12"/>
        <v>285.39272500000004</v>
      </c>
      <c r="M92" s="240">
        <v>0</v>
      </c>
      <c r="N92" s="207">
        <f t="shared" si="13"/>
        <v>3420.5716499999999</v>
      </c>
    </row>
    <row r="93" spans="1:14">
      <c r="A93" s="245" t="s">
        <v>109</v>
      </c>
      <c r="B93" s="244"/>
      <c r="C93" s="243" t="s">
        <v>101</v>
      </c>
      <c r="D93" s="214">
        <v>239.84449999999998</v>
      </c>
      <c r="E93" s="213">
        <v>42.498049999999992</v>
      </c>
      <c r="F93" s="219">
        <v>2.36</v>
      </c>
      <c r="G93" s="218">
        <f t="shared" si="11"/>
        <v>284.70254999999997</v>
      </c>
      <c r="H93" s="242">
        <v>0</v>
      </c>
      <c r="I93" s="241">
        <v>240.43</v>
      </c>
      <c r="J93" s="210">
        <v>42.602725</v>
      </c>
      <c r="K93" s="219">
        <v>2.36</v>
      </c>
      <c r="L93" s="209">
        <f t="shared" si="12"/>
        <v>285.39272500000004</v>
      </c>
      <c r="M93" s="240">
        <v>0</v>
      </c>
      <c r="N93" s="207">
        <f t="shared" si="13"/>
        <v>3420.5716499999999</v>
      </c>
    </row>
    <row r="94" spans="1:14">
      <c r="A94" s="245" t="s">
        <v>110</v>
      </c>
      <c r="B94" s="244"/>
      <c r="C94" s="243" t="s">
        <v>101</v>
      </c>
      <c r="D94" s="214">
        <v>239.84449999999998</v>
      </c>
      <c r="E94" s="213">
        <v>42.498049999999992</v>
      </c>
      <c r="F94" s="219">
        <v>2.36</v>
      </c>
      <c r="G94" s="218">
        <f t="shared" si="11"/>
        <v>284.70254999999997</v>
      </c>
      <c r="H94" s="242">
        <v>0</v>
      </c>
      <c r="I94" s="241">
        <v>240.43</v>
      </c>
      <c r="J94" s="210">
        <v>42.602725</v>
      </c>
      <c r="K94" s="219">
        <v>2.36</v>
      </c>
      <c r="L94" s="209">
        <f t="shared" si="12"/>
        <v>285.39272500000004</v>
      </c>
      <c r="M94" s="240">
        <v>0</v>
      </c>
      <c r="N94" s="207">
        <f t="shared" si="13"/>
        <v>3420.5716499999999</v>
      </c>
    </row>
    <row r="95" spans="1:14" ht="15.75" thickBot="1">
      <c r="A95" s="452" t="s">
        <v>280</v>
      </c>
      <c r="B95" s="520"/>
      <c r="C95" s="239" t="s">
        <v>101</v>
      </c>
      <c r="D95" s="201">
        <v>239.84449999999998</v>
      </c>
      <c r="E95" s="205">
        <v>42.498049999999992</v>
      </c>
      <c r="F95" s="235">
        <v>2.36</v>
      </c>
      <c r="G95" s="238">
        <f t="shared" si="11"/>
        <v>284.70254999999997</v>
      </c>
      <c r="H95" s="237">
        <v>0</v>
      </c>
      <c r="I95" s="236">
        <v>240.43</v>
      </c>
      <c r="J95" s="200">
        <v>42.602725</v>
      </c>
      <c r="K95" s="235">
        <v>2.36</v>
      </c>
      <c r="L95" s="199">
        <f t="shared" si="12"/>
        <v>285.39272500000004</v>
      </c>
      <c r="M95" s="234">
        <v>0</v>
      </c>
      <c r="N95" s="197">
        <f t="shared" si="13"/>
        <v>3420.5716499999999</v>
      </c>
    </row>
    <row r="97" spans="1:15" ht="18.75">
      <c r="A97" s="63" t="s">
        <v>308</v>
      </c>
      <c r="B97" s="63"/>
      <c r="C97" s="63"/>
      <c r="D97" s="63"/>
      <c r="E97" s="63"/>
      <c r="F97" s="63"/>
    </row>
    <row r="98" spans="1:15" ht="18.75">
      <c r="A98" s="63"/>
      <c r="B98" s="63"/>
      <c r="C98" s="63"/>
      <c r="D98" s="63"/>
      <c r="E98" s="63"/>
      <c r="F98" s="63"/>
    </row>
    <row r="99" spans="1:15">
      <c r="A99" s="66" t="s">
        <v>344</v>
      </c>
    </row>
    <row r="100" spans="1:15" ht="19.5" thickBot="1">
      <c r="A100" s="63"/>
      <c r="B100" s="63"/>
      <c r="C100" s="63"/>
      <c r="D100" s="63"/>
      <c r="E100" s="63"/>
      <c r="F100" s="63"/>
    </row>
    <row r="101" spans="1:15" ht="15.75" thickBot="1">
      <c r="D101" s="433" t="s">
        <v>289</v>
      </c>
      <c r="E101" s="434"/>
      <c r="F101" s="434"/>
      <c r="G101" s="434"/>
      <c r="H101" s="434"/>
      <c r="I101" s="435" t="s">
        <v>288</v>
      </c>
      <c r="J101" s="481"/>
      <c r="K101" s="481"/>
      <c r="L101" s="481"/>
      <c r="M101" s="436"/>
      <c r="N101" s="60"/>
      <c r="O101" s="60"/>
    </row>
    <row r="102" spans="1:15" ht="15" customHeight="1">
      <c r="A102" s="460" t="s">
        <v>3</v>
      </c>
      <c r="B102" s="475"/>
      <c r="C102" s="473" t="s">
        <v>111</v>
      </c>
      <c r="D102" s="486" t="s">
        <v>7</v>
      </c>
      <c r="E102" s="461" t="s">
        <v>85</v>
      </c>
      <c r="F102" s="475" t="s">
        <v>306</v>
      </c>
      <c r="G102" s="475" t="s">
        <v>74</v>
      </c>
      <c r="H102" s="468" t="s">
        <v>14</v>
      </c>
      <c r="I102" s="486" t="s">
        <v>7</v>
      </c>
      <c r="J102" s="461" t="s">
        <v>85</v>
      </c>
      <c r="K102" s="461" t="s">
        <v>306</v>
      </c>
      <c r="L102" s="461" t="s">
        <v>74</v>
      </c>
      <c r="M102" s="462" t="s">
        <v>14</v>
      </c>
      <c r="N102" s="494" t="s">
        <v>15</v>
      </c>
    </row>
    <row r="103" spans="1:15">
      <c r="A103" s="469"/>
      <c r="B103" s="476"/>
      <c r="C103" s="474"/>
      <c r="D103" s="469"/>
      <c r="E103" s="464"/>
      <c r="F103" s="476"/>
      <c r="G103" s="476"/>
      <c r="H103" s="470"/>
      <c r="I103" s="469"/>
      <c r="J103" s="464"/>
      <c r="K103" s="464"/>
      <c r="L103" s="464"/>
      <c r="M103" s="465"/>
      <c r="N103" s="495"/>
    </row>
    <row r="104" spans="1:15">
      <c r="A104" s="469"/>
      <c r="B104" s="476"/>
      <c r="C104" s="474"/>
      <c r="D104" s="469"/>
      <c r="E104" s="464"/>
      <c r="F104" s="476"/>
      <c r="G104" s="476"/>
      <c r="H104" s="470"/>
      <c r="I104" s="469"/>
      <c r="J104" s="464"/>
      <c r="K104" s="464"/>
      <c r="L104" s="464"/>
      <c r="M104" s="465"/>
      <c r="N104" s="495"/>
    </row>
    <row r="105" spans="1:15">
      <c r="A105" s="482" t="s">
        <v>112</v>
      </c>
      <c r="B105" s="483"/>
      <c r="C105" s="215" t="s">
        <v>113</v>
      </c>
      <c r="D105" s="214">
        <v>239.84449999999998</v>
      </c>
      <c r="E105" s="213">
        <v>42.48</v>
      </c>
      <c r="F105" s="213">
        <v>2.36</v>
      </c>
      <c r="G105" s="209">
        <f t="shared" ref="G105:G116" si="14">D105+E105+F105</f>
        <v>284.68450000000001</v>
      </c>
      <c r="H105" s="212">
        <v>239.84449999999998</v>
      </c>
      <c r="I105" s="214">
        <v>240.43</v>
      </c>
      <c r="J105" s="210">
        <v>42.58</v>
      </c>
      <c r="K105" s="210">
        <v>2.36</v>
      </c>
      <c r="L105" s="209">
        <f t="shared" ref="L105:L116" si="15">I105+J105+K105</f>
        <v>285.37</v>
      </c>
      <c r="M105" s="208">
        <v>240.43</v>
      </c>
      <c r="N105" s="207">
        <f t="shared" ref="N105:N116" si="16">(G105*6)+H105+(L105*6)+M105</f>
        <v>3900.6014999999998</v>
      </c>
    </row>
    <row r="106" spans="1:15" ht="15.75" thickBot="1">
      <c r="A106" s="477" t="s">
        <v>112</v>
      </c>
      <c r="B106" s="478"/>
      <c r="C106" s="206" t="s">
        <v>91</v>
      </c>
      <c r="D106" s="201">
        <v>1178.3439499999999</v>
      </c>
      <c r="E106" s="205">
        <v>4222.2477499999995</v>
      </c>
      <c r="F106" s="205">
        <v>6.28</v>
      </c>
      <c r="G106" s="199">
        <f t="shared" si="14"/>
        <v>5406.8716999999988</v>
      </c>
      <c r="H106" s="204">
        <v>1178.3439499999999</v>
      </c>
      <c r="I106" s="201">
        <v>1181.24</v>
      </c>
      <c r="J106" s="200">
        <v>4232.6473750000005</v>
      </c>
      <c r="K106" s="200">
        <v>6.28</v>
      </c>
      <c r="L106" s="199">
        <f t="shared" si="15"/>
        <v>5420.167375</v>
      </c>
      <c r="M106" s="198">
        <v>1181.24</v>
      </c>
      <c r="N106" s="197">
        <f t="shared" si="16"/>
        <v>67321.818400000004</v>
      </c>
    </row>
    <row r="107" spans="1:15">
      <c r="A107" s="484" t="s">
        <v>114</v>
      </c>
      <c r="B107" s="485"/>
      <c r="C107" s="232" t="s">
        <v>115</v>
      </c>
      <c r="D107" s="229">
        <v>700.94884999999999</v>
      </c>
      <c r="E107" s="231">
        <v>224.27439999999999</v>
      </c>
      <c r="F107" s="231">
        <v>3.14</v>
      </c>
      <c r="G107" s="227">
        <f t="shared" si="14"/>
        <v>928.36324999999999</v>
      </c>
      <c r="H107" s="230">
        <v>700.94884999999999</v>
      </c>
      <c r="I107" s="229">
        <v>702.67532500000004</v>
      </c>
      <c r="J107" s="228">
        <v>224.82</v>
      </c>
      <c r="K107" s="228">
        <v>3.14</v>
      </c>
      <c r="L107" s="227">
        <f t="shared" si="15"/>
        <v>930.63532500000008</v>
      </c>
      <c r="M107" s="233">
        <v>702.67532500000004</v>
      </c>
      <c r="N107" s="225">
        <f t="shared" si="16"/>
        <v>12557.615625</v>
      </c>
    </row>
    <row r="108" spans="1:15">
      <c r="A108" s="482" t="s">
        <v>114</v>
      </c>
      <c r="B108" s="483"/>
      <c r="C108" s="215" t="s">
        <v>116</v>
      </c>
      <c r="D108" s="214">
        <v>876.20889999999986</v>
      </c>
      <c r="E108" s="213">
        <v>280.34299999999996</v>
      </c>
      <c r="F108" s="213">
        <v>3.93</v>
      </c>
      <c r="G108" s="209">
        <f t="shared" si="14"/>
        <v>1160.4819</v>
      </c>
      <c r="H108" s="212">
        <v>876.20889999999986</v>
      </c>
      <c r="I108" s="214">
        <v>878.36705000000006</v>
      </c>
      <c r="J108" s="210">
        <v>281.0335</v>
      </c>
      <c r="K108" s="210">
        <v>3.93</v>
      </c>
      <c r="L108" s="209">
        <f t="shared" si="15"/>
        <v>1163.3305500000001</v>
      </c>
      <c r="M108" s="208">
        <v>878.36705000000006</v>
      </c>
      <c r="N108" s="207">
        <f t="shared" si="16"/>
        <v>15697.450650000002</v>
      </c>
    </row>
    <row r="109" spans="1:15">
      <c r="A109" s="482" t="s">
        <v>114</v>
      </c>
      <c r="B109" s="483"/>
      <c r="C109" s="215" t="s">
        <v>117</v>
      </c>
      <c r="D109" s="214">
        <v>1051.4689499999999</v>
      </c>
      <c r="E109" s="213">
        <v>336.42174999999997</v>
      </c>
      <c r="F109" s="213">
        <v>4.71</v>
      </c>
      <c r="G109" s="209">
        <f t="shared" si="14"/>
        <v>1392.6007</v>
      </c>
      <c r="H109" s="212">
        <v>1051.4689499999999</v>
      </c>
      <c r="I109" s="214">
        <v>1054.0587750000002</v>
      </c>
      <c r="J109" s="210">
        <v>337.25037500000002</v>
      </c>
      <c r="K109" s="210">
        <v>4.71</v>
      </c>
      <c r="L109" s="209">
        <f t="shared" si="15"/>
        <v>1396.0191500000003</v>
      </c>
      <c r="M109" s="208">
        <v>1054.0587750000002</v>
      </c>
      <c r="N109" s="207">
        <f t="shared" si="16"/>
        <v>18837.246825000006</v>
      </c>
    </row>
    <row r="110" spans="1:15" ht="15.75" thickBot="1">
      <c r="A110" s="477" t="s">
        <v>114</v>
      </c>
      <c r="B110" s="478"/>
      <c r="C110" s="206" t="s">
        <v>91</v>
      </c>
      <c r="D110" s="201">
        <v>1178.3439499999999</v>
      </c>
      <c r="E110" s="205">
        <v>2356.5762499999996</v>
      </c>
      <c r="F110" s="205">
        <v>6.28</v>
      </c>
      <c r="G110" s="199">
        <f t="shared" si="14"/>
        <v>3541.2001999999998</v>
      </c>
      <c r="H110" s="204">
        <v>1178.3439499999999</v>
      </c>
      <c r="I110" s="201">
        <v>1181.24</v>
      </c>
      <c r="J110" s="200">
        <v>2362.3806250000002</v>
      </c>
      <c r="K110" s="200">
        <v>6.28</v>
      </c>
      <c r="L110" s="199">
        <f t="shared" si="15"/>
        <v>3549.9006250000007</v>
      </c>
      <c r="M110" s="198">
        <v>1181.24</v>
      </c>
      <c r="N110" s="197">
        <f t="shared" si="16"/>
        <v>44906.188900000001</v>
      </c>
    </row>
    <row r="111" spans="1:15">
      <c r="A111" s="518" t="s">
        <v>118</v>
      </c>
      <c r="B111" s="519"/>
      <c r="C111" s="232" t="s">
        <v>113</v>
      </c>
      <c r="D111" s="229">
        <v>349.76900000000001</v>
      </c>
      <c r="E111" s="231">
        <v>86.833249999999992</v>
      </c>
      <c r="F111" s="231">
        <v>2.36</v>
      </c>
      <c r="G111" s="227">
        <f t="shared" si="14"/>
        <v>438.96225000000004</v>
      </c>
      <c r="H111" s="230">
        <v>349.76900000000001</v>
      </c>
      <c r="I111" s="229">
        <v>350.63050000000004</v>
      </c>
      <c r="J111" s="228">
        <v>87.04</v>
      </c>
      <c r="K111" s="228">
        <v>2.36</v>
      </c>
      <c r="L111" s="227">
        <f t="shared" si="15"/>
        <v>440.03050000000007</v>
      </c>
      <c r="M111" s="226">
        <v>350.63050000000004</v>
      </c>
      <c r="N111" s="225">
        <f t="shared" si="16"/>
        <v>5974.3560000000007</v>
      </c>
    </row>
    <row r="112" spans="1:15">
      <c r="A112" s="448" t="s">
        <v>118</v>
      </c>
      <c r="B112" s="449"/>
      <c r="C112" s="215" t="s">
        <v>117</v>
      </c>
      <c r="D112" s="214">
        <v>699.54814999999996</v>
      </c>
      <c r="E112" s="213">
        <v>173.66649999999998</v>
      </c>
      <c r="F112" s="213">
        <v>4.71</v>
      </c>
      <c r="G112" s="209">
        <f t="shared" si="14"/>
        <v>877.92464999999993</v>
      </c>
      <c r="H112" s="212">
        <v>699.54814999999996</v>
      </c>
      <c r="I112" s="211">
        <v>701.27117500000008</v>
      </c>
      <c r="J112" s="210">
        <v>174.09425000000002</v>
      </c>
      <c r="K112" s="210">
        <v>4.71</v>
      </c>
      <c r="L112" s="209">
        <f t="shared" si="15"/>
        <v>880.07542500000011</v>
      </c>
      <c r="M112" s="208">
        <v>701.27117500000008</v>
      </c>
      <c r="N112" s="207">
        <f t="shared" si="16"/>
        <v>11948.819775</v>
      </c>
    </row>
    <row r="113" spans="1:14" ht="15.75" thickBot="1">
      <c r="A113" s="450" t="s">
        <v>118</v>
      </c>
      <c r="B113" s="451"/>
      <c r="C113" s="206" t="s">
        <v>91</v>
      </c>
      <c r="D113" s="201">
        <v>1178.3439499999999</v>
      </c>
      <c r="E113" s="205">
        <v>1648.9892999999997</v>
      </c>
      <c r="F113" s="205">
        <v>6.28</v>
      </c>
      <c r="G113" s="199">
        <f t="shared" si="14"/>
        <v>2833.6132499999999</v>
      </c>
      <c r="H113" s="204">
        <v>1178.3439499999999</v>
      </c>
      <c r="I113" s="203">
        <v>1181.24</v>
      </c>
      <c r="J113" s="200">
        <v>1653.0508500000001</v>
      </c>
      <c r="K113" s="200">
        <v>6.28</v>
      </c>
      <c r="L113" s="199">
        <f t="shared" si="15"/>
        <v>2840.5708500000005</v>
      </c>
      <c r="M113" s="198">
        <v>1181.24</v>
      </c>
      <c r="N113" s="197">
        <f t="shared" si="16"/>
        <v>36404.688549999999</v>
      </c>
    </row>
    <row r="114" spans="1:14">
      <c r="A114" s="446" t="s">
        <v>119</v>
      </c>
      <c r="B114" s="447"/>
      <c r="C114" s="224" t="s">
        <v>113</v>
      </c>
      <c r="D114" s="223">
        <v>299.80054999999999</v>
      </c>
      <c r="E114" s="222">
        <v>53.145399999999995</v>
      </c>
      <c r="F114" s="222">
        <v>2.36</v>
      </c>
      <c r="G114" s="218">
        <f t="shared" si="14"/>
        <v>355.30595</v>
      </c>
      <c r="H114" s="221">
        <v>299.80054999999999</v>
      </c>
      <c r="I114" s="220">
        <v>300.53897500000005</v>
      </c>
      <c r="J114" s="219">
        <v>53.276300000000006</v>
      </c>
      <c r="K114" s="219">
        <v>2.36</v>
      </c>
      <c r="L114" s="218">
        <f t="shared" si="15"/>
        <v>356.17527500000006</v>
      </c>
      <c r="M114" s="217">
        <v>300.53897500000005</v>
      </c>
      <c r="N114" s="216">
        <f t="shared" si="16"/>
        <v>4869.2268750000012</v>
      </c>
    </row>
    <row r="115" spans="1:14">
      <c r="A115" s="448" t="s">
        <v>119</v>
      </c>
      <c r="B115" s="449"/>
      <c r="C115" s="215" t="s">
        <v>117</v>
      </c>
      <c r="D115" s="214">
        <v>599.50974999999994</v>
      </c>
      <c r="E115" s="213">
        <v>106.30095</v>
      </c>
      <c r="F115" s="213">
        <v>4.71</v>
      </c>
      <c r="G115" s="209">
        <f t="shared" si="14"/>
        <v>710.52070000000003</v>
      </c>
      <c r="H115" s="212">
        <v>599.50974999999994</v>
      </c>
      <c r="I115" s="211">
        <v>600.98637500000007</v>
      </c>
      <c r="J115" s="210">
        <v>106.56277500000002</v>
      </c>
      <c r="K115" s="210">
        <v>4.71</v>
      </c>
      <c r="L115" s="209">
        <f t="shared" si="15"/>
        <v>712.25915000000009</v>
      </c>
      <c r="M115" s="208">
        <v>600.98637500000007</v>
      </c>
      <c r="N115" s="207">
        <f t="shared" si="16"/>
        <v>9737.1752250000027</v>
      </c>
    </row>
    <row r="116" spans="1:14" ht="15.75" thickBot="1">
      <c r="A116" s="450" t="s">
        <v>119</v>
      </c>
      <c r="B116" s="451"/>
      <c r="C116" s="206" t="s">
        <v>91</v>
      </c>
      <c r="D116" s="201">
        <v>1178.3439499999999</v>
      </c>
      <c r="E116" s="205">
        <v>1316.8813</v>
      </c>
      <c r="F116" s="205">
        <v>6.28</v>
      </c>
      <c r="G116" s="199">
        <f t="shared" si="14"/>
        <v>2501.5052500000002</v>
      </c>
      <c r="H116" s="204">
        <v>1178.3439499999999</v>
      </c>
      <c r="I116" s="203">
        <v>1181.24</v>
      </c>
      <c r="J116" s="200">
        <v>1320.1248500000002</v>
      </c>
      <c r="K116" s="200">
        <v>6.28</v>
      </c>
      <c r="L116" s="199">
        <f t="shared" si="15"/>
        <v>2507.6448500000001</v>
      </c>
      <c r="M116" s="198">
        <v>1181.24</v>
      </c>
      <c r="N116" s="197">
        <f t="shared" si="16"/>
        <v>32414.484550000005</v>
      </c>
    </row>
    <row r="117" spans="1:14">
      <c r="A117" s="33"/>
      <c r="B117" s="10"/>
      <c r="C117" s="53"/>
      <c r="D117" s="10"/>
      <c r="E117" s="11"/>
      <c r="F117" s="11"/>
      <c r="G117" s="11"/>
      <c r="H117" s="11"/>
      <c r="I117" s="11"/>
      <c r="J117" s="11"/>
      <c r="K117" s="11"/>
      <c r="L117" s="11"/>
      <c r="M117" s="11"/>
    </row>
    <row r="119" spans="1:14" ht="18.75">
      <c r="A119" s="63" t="s">
        <v>307</v>
      </c>
      <c r="B119" s="63"/>
      <c r="C119" s="63"/>
      <c r="D119" s="63"/>
      <c r="E119" s="63"/>
      <c r="F119" s="185"/>
    </row>
    <row r="120" spans="1:14" ht="18.75">
      <c r="A120" s="63"/>
      <c r="B120" s="63"/>
      <c r="C120" s="63"/>
      <c r="D120" s="63"/>
      <c r="E120" s="63"/>
      <c r="F120" s="421"/>
    </row>
    <row r="121" spans="1:14">
      <c r="A121" s="66" t="s">
        <v>344</v>
      </c>
    </row>
    <row r="122" spans="1:14" ht="15.75" thickBot="1">
      <c r="A122" s="66"/>
    </row>
    <row r="123" spans="1:14" ht="15.75" thickBot="1">
      <c r="C123" s="433" t="s">
        <v>289</v>
      </c>
      <c r="D123" s="434"/>
      <c r="E123" s="434"/>
      <c r="F123" s="434"/>
      <c r="G123" s="454"/>
      <c r="H123" s="435" t="s">
        <v>288</v>
      </c>
      <c r="I123" s="481"/>
      <c r="J123" s="481"/>
      <c r="K123" s="481"/>
      <c r="L123" s="436"/>
      <c r="M123" s="60"/>
      <c r="N123" s="60"/>
    </row>
    <row r="124" spans="1:14" ht="15" customHeight="1">
      <c r="A124" s="460" t="s">
        <v>3</v>
      </c>
      <c r="B124" s="468"/>
      <c r="C124" s="456" t="s">
        <v>7</v>
      </c>
      <c r="D124" s="461" t="s">
        <v>85</v>
      </c>
      <c r="E124" s="461" t="s">
        <v>306</v>
      </c>
      <c r="F124" s="461" t="s">
        <v>74</v>
      </c>
      <c r="G124" s="462" t="s">
        <v>14</v>
      </c>
      <c r="H124" s="486" t="s">
        <v>7</v>
      </c>
      <c r="I124" s="461" t="s">
        <v>85</v>
      </c>
      <c r="J124" s="461" t="s">
        <v>306</v>
      </c>
      <c r="K124" s="461" t="s">
        <v>74</v>
      </c>
      <c r="L124" s="462" t="s">
        <v>14</v>
      </c>
      <c r="M124" s="494" t="s">
        <v>15</v>
      </c>
    </row>
    <row r="125" spans="1:14">
      <c r="A125" s="469"/>
      <c r="B125" s="470"/>
      <c r="C125" s="457"/>
      <c r="D125" s="464"/>
      <c r="E125" s="464"/>
      <c r="F125" s="464"/>
      <c r="G125" s="465"/>
      <c r="H125" s="469"/>
      <c r="I125" s="464"/>
      <c r="J125" s="464"/>
      <c r="K125" s="464"/>
      <c r="L125" s="465"/>
      <c r="M125" s="495"/>
    </row>
    <row r="126" spans="1:14">
      <c r="A126" s="469"/>
      <c r="B126" s="470"/>
      <c r="C126" s="457"/>
      <c r="D126" s="464"/>
      <c r="E126" s="464"/>
      <c r="F126" s="464"/>
      <c r="G126" s="465"/>
      <c r="H126" s="469"/>
      <c r="I126" s="464"/>
      <c r="J126" s="464"/>
      <c r="K126" s="464"/>
      <c r="L126" s="465"/>
      <c r="M126" s="495"/>
    </row>
    <row r="127" spans="1:14" ht="15.75" thickBot="1">
      <c r="A127" s="452" t="s">
        <v>120</v>
      </c>
      <c r="B127" s="453"/>
      <c r="C127" s="202">
        <f>78.76*1.015</f>
        <v>79.941400000000002</v>
      </c>
      <c r="D127" s="200">
        <f>13.97*1.015</f>
        <v>14.179549999999999</v>
      </c>
      <c r="E127" s="200">
        <v>0.79</v>
      </c>
      <c r="F127" s="199">
        <f>C127+D127+E127</f>
        <v>94.91095</v>
      </c>
      <c r="G127" s="198">
        <f>78.76*1.015</f>
        <v>79.941400000000002</v>
      </c>
      <c r="H127" s="201">
        <f>78.76*1.0175</f>
        <v>80.138300000000015</v>
      </c>
      <c r="I127" s="200">
        <f>13.97*1.0175</f>
        <v>14.214475000000002</v>
      </c>
      <c r="J127" s="200">
        <v>0.79</v>
      </c>
      <c r="K127" s="199">
        <f>H127+I127+J127</f>
        <v>95.142775000000029</v>
      </c>
      <c r="L127" s="198">
        <f>78.76*1.0175</f>
        <v>80.138300000000015</v>
      </c>
      <c r="M127" s="197">
        <f>(F127*6)+G127+(K127*6)+L127</f>
        <v>1300.4020500000001</v>
      </c>
    </row>
    <row r="130" spans="1:17">
      <c r="A130" s="458" t="s">
        <v>305</v>
      </c>
      <c r="B130" s="458"/>
      <c r="C130" s="458"/>
      <c r="D130" s="458"/>
      <c r="E130" s="458"/>
      <c r="F130" s="458"/>
      <c r="G130" s="458"/>
      <c r="H130" s="458"/>
      <c r="I130" s="458"/>
      <c r="J130" s="458"/>
      <c r="K130" s="11"/>
      <c r="L130" s="11"/>
      <c r="M130" s="11"/>
      <c r="N130" s="11"/>
      <c r="O130" s="11"/>
      <c r="P130" s="11"/>
      <c r="Q130" s="10"/>
    </row>
    <row r="131" spans="1:17" ht="15.75" thickBot="1">
      <c r="A131" s="458"/>
      <c r="B131" s="458"/>
      <c r="C131" s="458"/>
      <c r="D131" s="458"/>
      <c r="E131" s="458"/>
      <c r="F131" s="458"/>
      <c r="G131" s="458"/>
      <c r="H131" s="458"/>
      <c r="I131" s="458"/>
      <c r="J131" s="458"/>
      <c r="K131" s="11"/>
      <c r="L131" s="11"/>
      <c r="M131" s="11"/>
      <c r="N131" s="11"/>
      <c r="O131" s="11"/>
      <c r="P131" s="11"/>
      <c r="Q131" s="10"/>
    </row>
    <row r="132" spans="1:17" ht="15.75" thickBot="1">
      <c r="B132" s="459"/>
      <c r="C132" s="459"/>
      <c r="E132" s="44"/>
      <c r="F132" s="433" t="s">
        <v>289</v>
      </c>
      <c r="G132" s="434"/>
      <c r="H132" s="435" t="s">
        <v>288</v>
      </c>
      <c r="I132" s="436"/>
      <c r="J132" s="60"/>
      <c r="K132" s="60"/>
      <c r="L132" s="60"/>
      <c r="M132" s="60"/>
      <c r="N132" s="11"/>
      <c r="O132" s="11"/>
      <c r="P132" s="11"/>
      <c r="Q132" s="10"/>
    </row>
    <row r="133" spans="1:17">
      <c r="A133" s="460" t="s">
        <v>198</v>
      </c>
      <c r="B133" s="461"/>
      <c r="C133" s="461"/>
      <c r="D133" s="461"/>
      <c r="E133" s="462"/>
      <c r="F133" s="460" t="s">
        <v>199</v>
      </c>
      <c r="G133" s="462"/>
      <c r="H133" s="460" t="s">
        <v>199</v>
      </c>
      <c r="I133" s="466"/>
      <c r="J133" s="33"/>
      <c r="K133" s="74"/>
      <c r="L133" s="74"/>
      <c r="M133" s="74"/>
      <c r="N133" s="11"/>
      <c r="O133" s="11"/>
      <c r="P133" s="11"/>
      <c r="Q133" s="10"/>
    </row>
    <row r="134" spans="1:17">
      <c r="A134" s="463"/>
      <c r="B134" s="464"/>
      <c r="C134" s="464"/>
      <c r="D134" s="464"/>
      <c r="E134" s="465"/>
      <c r="F134" s="463"/>
      <c r="G134" s="465"/>
      <c r="H134" s="463"/>
      <c r="I134" s="467"/>
      <c r="J134" s="33"/>
      <c r="K134" s="33"/>
      <c r="L134" s="33"/>
      <c r="M134" s="33"/>
      <c r="N134" s="10"/>
      <c r="O134" s="10"/>
      <c r="P134" s="10"/>
      <c r="Q134" s="10"/>
    </row>
    <row r="135" spans="1:17">
      <c r="A135" s="463"/>
      <c r="B135" s="464"/>
      <c r="C135" s="464"/>
      <c r="D135" s="464"/>
      <c r="E135" s="465"/>
      <c r="F135" s="463"/>
      <c r="G135" s="465"/>
      <c r="H135" s="463"/>
      <c r="I135" s="467"/>
      <c r="J135" s="33"/>
      <c r="K135" s="33"/>
      <c r="L135" s="33"/>
      <c r="M135" s="33"/>
      <c r="N135" s="10"/>
      <c r="O135" s="10"/>
      <c r="P135" s="10"/>
      <c r="Q135" s="10"/>
    </row>
    <row r="136" spans="1:17">
      <c r="A136" s="442" t="s">
        <v>200</v>
      </c>
      <c r="B136" s="443"/>
      <c r="C136" s="443"/>
      <c r="D136" s="443"/>
      <c r="E136" s="443"/>
      <c r="F136" s="440">
        <v>2.29</v>
      </c>
      <c r="G136" s="455"/>
      <c r="H136" s="437">
        <v>2.2999999999999998</v>
      </c>
      <c r="I136" s="438"/>
      <c r="J136" s="33"/>
      <c r="K136" s="33"/>
      <c r="L136" s="33"/>
      <c r="M136" s="33"/>
    </row>
    <row r="137" spans="1:17">
      <c r="A137" s="442" t="s">
        <v>201</v>
      </c>
      <c r="B137" s="443"/>
      <c r="C137" s="443"/>
      <c r="D137" s="443"/>
      <c r="E137" s="443"/>
      <c r="F137" s="440">
        <v>4.57</v>
      </c>
      <c r="G137" s="455"/>
      <c r="H137" s="437">
        <v>4.58</v>
      </c>
      <c r="I137" s="438"/>
      <c r="J137" s="33"/>
      <c r="K137" s="33"/>
      <c r="L137" s="33"/>
      <c r="M137" s="33"/>
    </row>
    <row r="138" spans="1:17">
      <c r="A138" s="442" t="s">
        <v>202</v>
      </c>
      <c r="B138" s="443"/>
      <c r="C138" s="443"/>
      <c r="D138" s="443"/>
      <c r="E138" s="443"/>
      <c r="F138" s="440">
        <v>6.8715499999999992</v>
      </c>
      <c r="G138" s="455"/>
      <c r="H138" s="437">
        <v>6.8884749999999997</v>
      </c>
      <c r="I138" s="438"/>
      <c r="J138" s="33"/>
      <c r="K138" s="33"/>
      <c r="L138" s="33"/>
      <c r="M138" s="33"/>
    </row>
    <row r="139" spans="1:17">
      <c r="A139" s="442" t="s">
        <v>203</v>
      </c>
      <c r="B139" s="443"/>
      <c r="C139" s="443"/>
      <c r="D139" s="443"/>
      <c r="E139" s="443"/>
      <c r="F139" s="440">
        <v>9.1552999999999987</v>
      </c>
      <c r="G139" s="455"/>
      <c r="H139" s="437">
        <v>9.1778499999999994</v>
      </c>
      <c r="I139" s="438"/>
      <c r="J139" s="33"/>
      <c r="K139" s="33"/>
      <c r="L139" s="33"/>
      <c r="M139" s="33"/>
    </row>
    <row r="140" spans="1:17">
      <c r="A140" s="442" t="s">
        <v>204</v>
      </c>
      <c r="B140" s="443"/>
      <c r="C140" s="443"/>
      <c r="D140" s="443"/>
      <c r="E140" s="443"/>
      <c r="F140" s="440">
        <v>11.44</v>
      </c>
      <c r="G140" s="455"/>
      <c r="H140" s="437">
        <v>11.47</v>
      </c>
      <c r="I140" s="438"/>
    </row>
    <row r="141" spans="1:17">
      <c r="A141" s="442" t="s">
        <v>205</v>
      </c>
      <c r="B141" s="443"/>
      <c r="C141" s="443"/>
      <c r="D141" s="443"/>
      <c r="E141" s="443"/>
      <c r="F141" s="440">
        <v>13.712649999999998</v>
      </c>
      <c r="G141" s="455"/>
      <c r="H141" s="437">
        <v>13.74</v>
      </c>
      <c r="I141" s="438"/>
    </row>
    <row r="142" spans="1:17" ht="15.75" thickBot="1">
      <c r="A142" s="444" t="s">
        <v>206</v>
      </c>
      <c r="B142" s="445"/>
      <c r="C142" s="445"/>
      <c r="D142" s="445"/>
      <c r="E142" s="445"/>
      <c r="F142" s="513">
        <v>46.893000000000001</v>
      </c>
      <c r="G142" s="514"/>
      <c r="H142" s="511">
        <v>47.008500000000005</v>
      </c>
      <c r="I142" s="432"/>
    </row>
    <row r="145" spans="1:21">
      <c r="A145" s="458" t="s">
        <v>304</v>
      </c>
      <c r="B145" s="458"/>
      <c r="C145" s="458"/>
      <c r="D145" s="458"/>
      <c r="E145" s="458"/>
      <c r="F145" s="458"/>
      <c r="G145" s="458"/>
      <c r="H145" s="458"/>
    </row>
    <row r="146" spans="1:21" ht="15.75" thickBot="1">
      <c r="A146" s="458"/>
      <c r="B146" s="458"/>
      <c r="C146" s="458"/>
      <c r="D146" s="458"/>
      <c r="E146" s="458"/>
      <c r="F146" s="458"/>
      <c r="G146" s="458"/>
      <c r="H146" s="458"/>
    </row>
    <row r="147" spans="1:21" ht="15.75" thickBot="1">
      <c r="D147" s="44"/>
      <c r="E147" s="44"/>
      <c r="F147" s="433" t="s">
        <v>289</v>
      </c>
      <c r="G147" s="434"/>
      <c r="H147" s="435" t="s">
        <v>288</v>
      </c>
      <c r="I147" s="436"/>
    </row>
    <row r="148" spans="1:21">
      <c r="A148" s="460" t="s">
        <v>192</v>
      </c>
      <c r="B148" s="461"/>
      <c r="C148" s="461"/>
      <c r="D148" s="461"/>
      <c r="E148" s="462"/>
      <c r="F148" s="460" t="s">
        <v>141</v>
      </c>
      <c r="G148" s="468"/>
      <c r="H148" s="512" t="s">
        <v>141</v>
      </c>
      <c r="I148" s="468"/>
    </row>
    <row r="149" spans="1:21">
      <c r="A149" s="463"/>
      <c r="B149" s="464"/>
      <c r="C149" s="464"/>
      <c r="D149" s="464"/>
      <c r="E149" s="465"/>
      <c r="F149" s="469"/>
      <c r="G149" s="470"/>
      <c r="H149" s="457"/>
      <c r="I149" s="470"/>
    </row>
    <row r="150" spans="1:21">
      <c r="A150" s="463"/>
      <c r="B150" s="464"/>
      <c r="C150" s="464"/>
      <c r="D150" s="464"/>
      <c r="E150" s="465"/>
      <c r="F150" s="469"/>
      <c r="G150" s="470"/>
      <c r="H150" s="457"/>
      <c r="I150" s="470"/>
    </row>
    <row r="151" spans="1:21">
      <c r="A151" s="502" t="s">
        <v>193</v>
      </c>
      <c r="B151" s="503"/>
      <c r="C151" s="503"/>
      <c r="D151" s="503"/>
      <c r="E151" s="504"/>
      <c r="F151" s="440">
        <v>106.6156</v>
      </c>
      <c r="G151" s="441"/>
      <c r="H151" s="439">
        <v>106.87820000000001</v>
      </c>
      <c r="I151" s="438"/>
    </row>
    <row r="152" spans="1:21">
      <c r="A152" s="502" t="s">
        <v>194</v>
      </c>
      <c r="B152" s="503"/>
      <c r="C152" s="503"/>
      <c r="D152" s="503"/>
      <c r="E152" s="504"/>
      <c r="F152" s="440">
        <v>112.12704999999998</v>
      </c>
      <c r="G152" s="441"/>
      <c r="H152" s="439">
        <v>112.40322500000001</v>
      </c>
      <c r="I152" s="438"/>
    </row>
    <row r="153" spans="1:21">
      <c r="A153" s="502" t="s">
        <v>195</v>
      </c>
      <c r="B153" s="503"/>
      <c r="C153" s="503"/>
      <c r="D153" s="503"/>
      <c r="E153" s="504"/>
      <c r="F153" s="440">
        <v>127.13889999999999</v>
      </c>
      <c r="G153" s="441"/>
      <c r="H153" s="439">
        <v>127.45205000000001</v>
      </c>
      <c r="I153" s="438"/>
    </row>
    <row r="154" spans="1:21">
      <c r="A154" s="502" t="s">
        <v>196</v>
      </c>
      <c r="B154" s="503"/>
      <c r="C154" s="503"/>
      <c r="D154" s="503"/>
      <c r="E154" s="504"/>
      <c r="F154" s="440">
        <v>137.67459999999997</v>
      </c>
      <c r="G154" s="441"/>
      <c r="H154" s="439">
        <v>138.0137</v>
      </c>
      <c r="I154" s="438"/>
    </row>
    <row r="155" spans="1:21" ht="15.75" thickBot="1">
      <c r="A155" s="452" t="s">
        <v>197</v>
      </c>
      <c r="B155" s="520"/>
      <c r="C155" s="520"/>
      <c r="D155" s="520"/>
      <c r="E155" s="521"/>
      <c r="F155" s="513">
        <v>120.50079999999998</v>
      </c>
      <c r="G155" s="522"/>
      <c r="H155" s="431">
        <v>120.7976</v>
      </c>
      <c r="I155" s="432"/>
    </row>
    <row r="159" spans="1:21" ht="21">
      <c r="A159" s="523" t="s">
        <v>341</v>
      </c>
      <c r="B159" s="523"/>
      <c r="C159" s="523"/>
      <c r="D159" s="523"/>
      <c r="E159" s="523"/>
      <c r="F159" s="523"/>
      <c r="G159" s="523"/>
      <c r="H159" s="523"/>
      <c r="I159" s="523"/>
      <c r="J159" s="523"/>
      <c r="K159" s="523"/>
      <c r="L159" s="523"/>
      <c r="M159" s="523"/>
      <c r="N159" s="523"/>
      <c r="O159" s="523"/>
      <c r="P159" s="523"/>
      <c r="Q159" s="523"/>
      <c r="R159" s="523"/>
      <c r="S159" s="523"/>
      <c r="T159" s="523"/>
      <c r="U159" s="523"/>
    </row>
  </sheetData>
  <mergeCells count="190">
    <mergeCell ref="A159:U159"/>
    <mergeCell ref="F154:G154"/>
    <mergeCell ref="A9:C11"/>
    <mergeCell ref="A7:I7"/>
    <mergeCell ref="A4:G4"/>
    <mergeCell ref="D9:D11"/>
    <mergeCell ref="E9:E11"/>
    <mergeCell ref="A51:C51"/>
    <mergeCell ref="A50:C50"/>
    <mergeCell ref="A95:B95"/>
    <mergeCell ref="A45:I45"/>
    <mergeCell ref="A47:C49"/>
    <mergeCell ref="D47:D49"/>
    <mergeCell ref="A64:B66"/>
    <mergeCell ref="C64:C66"/>
    <mergeCell ref="D64:D66"/>
    <mergeCell ref="A31:E31"/>
    <mergeCell ref="H31:I31"/>
    <mergeCell ref="H27:I27"/>
    <mergeCell ref="A28:E28"/>
    <mergeCell ref="A39:E39"/>
    <mergeCell ref="H39:I39"/>
    <mergeCell ref="A37:E37"/>
    <mergeCell ref="H37:I37"/>
    <mergeCell ref="A2:U2"/>
    <mergeCell ref="A42:U42"/>
    <mergeCell ref="A35:E35"/>
    <mergeCell ref="H35:I35"/>
    <mergeCell ref="A36:E36"/>
    <mergeCell ref="H36:I36"/>
    <mergeCell ref="F31:G31"/>
    <mergeCell ref="F35:G35"/>
    <mergeCell ref="U9:U11"/>
    <mergeCell ref="O9:O11"/>
    <mergeCell ref="P9:P11"/>
    <mergeCell ref="Q9:Q11"/>
    <mergeCell ref="R9:R11"/>
    <mergeCell ref="T9:T11"/>
    <mergeCell ref="F28:G28"/>
    <mergeCell ref="A29:E29"/>
    <mergeCell ref="H29:I29"/>
    <mergeCell ref="A30:E30"/>
    <mergeCell ref="H30:I30"/>
    <mergeCell ref="K9:K11"/>
    <mergeCell ref="L9:L11"/>
    <mergeCell ref="M9:M11"/>
    <mergeCell ref="N9:N11"/>
    <mergeCell ref="A23:K23"/>
    <mergeCell ref="F36:G36"/>
    <mergeCell ref="M124:M126"/>
    <mergeCell ref="D102:D104"/>
    <mergeCell ref="E102:E104"/>
    <mergeCell ref="G102:G104"/>
    <mergeCell ref="H102:H104"/>
    <mergeCell ref="F102:F104"/>
    <mergeCell ref="K124:K126"/>
    <mergeCell ref="H123:L123"/>
    <mergeCell ref="D124:D126"/>
    <mergeCell ref="F124:F126"/>
    <mergeCell ref="G124:G126"/>
    <mergeCell ref="E124:E126"/>
    <mergeCell ref="H124:H126"/>
    <mergeCell ref="I124:I126"/>
    <mergeCell ref="L124:L126"/>
    <mergeCell ref="A54:C54"/>
    <mergeCell ref="A109:B109"/>
    <mergeCell ref="A111:B111"/>
    <mergeCell ref="A112:B112"/>
    <mergeCell ref="A155:E155"/>
    <mergeCell ref="F155:G155"/>
    <mergeCell ref="H47:H49"/>
    <mergeCell ref="K47:K49"/>
    <mergeCell ref="N102:N104"/>
    <mergeCell ref="D101:H101"/>
    <mergeCell ref="L47:L49"/>
    <mergeCell ref="M47:M49"/>
    <mergeCell ref="N47:N49"/>
    <mergeCell ref="I102:I104"/>
    <mergeCell ref="J102:J104"/>
    <mergeCell ref="K102:K104"/>
    <mergeCell ref="L102:L104"/>
    <mergeCell ref="F64:F66"/>
    <mergeCell ref="I64:I66"/>
    <mergeCell ref="J64:J66"/>
    <mergeCell ref="K64:K66"/>
    <mergeCell ref="L64:L66"/>
    <mergeCell ref="I63:M63"/>
    <mergeCell ref="A152:E152"/>
    <mergeCell ref="A153:E153"/>
    <mergeCell ref="F153:G153"/>
    <mergeCell ref="A154:E154"/>
    <mergeCell ref="H142:I142"/>
    <mergeCell ref="H148:I150"/>
    <mergeCell ref="H151:I151"/>
    <mergeCell ref="H152:I152"/>
    <mergeCell ref="F142:G142"/>
    <mergeCell ref="A145:H146"/>
    <mergeCell ref="A148:E150"/>
    <mergeCell ref="F148:G150"/>
    <mergeCell ref="A151:E151"/>
    <mergeCell ref="F151:G151"/>
    <mergeCell ref="E8:L8"/>
    <mergeCell ref="M8:T8"/>
    <mergeCell ref="A27:E27"/>
    <mergeCell ref="E46:J46"/>
    <mergeCell ref="K46:P46"/>
    <mergeCell ref="H64:H66"/>
    <mergeCell ref="M64:M66"/>
    <mergeCell ref="N64:N66"/>
    <mergeCell ref="D63:H63"/>
    <mergeCell ref="E64:E66"/>
    <mergeCell ref="G64:G66"/>
    <mergeCell ref="F39:G39"/>
    <mergeCell ref="H34:I34"/>
    <mergeCell ref="F34:G34"/>
    <mergeCell ref="A38:E38"/>
    <mergeCell ref="H38:I38"/>
    <mergeCell ref="F29:G29"/>
    <mergeCell ref="F30:G30"/>
    <mergeCell ref="A16:C16"/>
    <mergeCell ref="H26:I26"/>
    <mergeCell ref="F26:G26"/>
    <mergeCell ref="F27:G27"/>
    <mergeCell ref="F37:G37"/>
    <mergeCell ref="F38:G38"/>
    <mergeCell ref="P47:P49"/>
    <mergeCell ref="Q47:Q49"/>
    <mergeCell ref="S9:S11"/>
    <mergeCell ref="M102:M104"/>
    <mergeCell ref="C102:C104"/>
    <mergeCell ref="A102:B104"/>
    <mergeCell ref="I9:I11"/>
    <mergeCell ref="J9:J11"/>
    <mergeCell ref="A110:B110"/>
    <mergeCell ref="H28:I28"/>
    <mergeCell ref="F9:F11"/>
    <mergeCell ref="G9:G11"/>
    <mergeCell ref="H9:H11"/>
    <mergeCell ref="I101:M101"/>
    <mergeCell ref="A105:B105"/>
    <mergeCell ref="A106:B106"/>
    <mergeCell ref="A107:B107"/>
    <mergeCell ref="A108:B108"/>
    <mergeCell ref="O47:O49"/>
    <mergeCell ref="J47:J49"/>
    <mergeCell ref="I47:I49"/>
    <mergeCell ref="G47:G49"/>
    <mergeCell ref="F47:F49"/>
    <mergeCell ref="E47:E49"/>
    <mergeCell ref="A113:B113"/>
    <mergeCell ref="A136:E136"/>
    <mergeCell ref="A137:E137"/>
    <mergeCell ref="C124:C126"/>
    <mergeCell ref="A130:J131"/>
    <mergeCell ref="B132:C132"/>
    <mergeCell ref="A133:E135"/>
    <mergeCell ref="H133:I135"/>
    <mergeCell ref="F137:G137"/>
    <mergeCell ref="F133:G135"/>
    <mergeCell ref="F136:G136"/>
    <mergeCell ref="A124:B126"/>
    <mergeCell ref="J124:J126"/>
    <mergeCell ref="H136:I136"/>
    <mergeCell ref="F132:G132"/>
    <mergeCell ref="H132:I132"/>
    <mergeCell ref="H137:I137"/>
    <mergeCell ref="A138:E138"/>
    <mergeCell ref="A139:E139"/>
    <mergeCell ref="A140:E140"/>
    <mergeCell ref="A141:E141"/>
    <mergeCell ref="A142:E142"/>
    <mergeCell ref="A114:B114"/>
    <mergeCell ref="A115:B115"/>
    <mergeCell ref="A116:B116"/>
    <mergeCell ref="A127:B127"/>
    <mergeCell ref="C123:G123"/>
    <mergeCell ref="F138:G138"/>
    <mergeCell ref="F139:G139"/>
    <mergeCell ref="F140:G140"/>
    <mergeCell ref="F141:G141"/>
    <mergeCell ref="H155:I155"/>
    <mergeCell ref="F147:G147"/>
    <mergeCell ref="H147:I147"/>
    <mergeCell ref="H138:I138"/>
    <mergeCell ref="H139:I139"/>
    <mergeCell ref="H140:I140"/>
    <mergeCell ref="H141:I141"/>
    <mergeCell ref="H153:I153"/>
    <mergeCell ref="H154:I154"/>
    <mergeCell ref="F152:G152"/>
  </mergeCells>
  <pageMargins left="0.7" right="0.7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J183"/>
  <sheetViews>
    <sheetView showGridLines="0" zoomScale="80" zoomScaleNormal="80" workbookViewId="0">
      <selection activeCell="A2" sqref="A2:G2"/>
    </sheetView>
  </sheetViews>
  <sheetFormatPr defaultColWidth="9.140625" defaultRowHeight="15"/>
  <cols>
    <col min="1" max="2" width="9.140625" style="22"/>
    <col min="3" max="3" width="69.7109375" style="22" customWidth="1"/>
    <col min="4" max="4" width="1.85546875" style="22" customWidth="1"/>
    <col min="5" max="5" width="9.140625" style="22" hidden="1" customWidth="1"/>
    <col min="6" max="6" width="23" style="22" customWidth="1"/>
    <col min="7" max="7" width="24.5703125" style="22" customWidth="1"/>
    <col min="8" max="16384" width="9.140625" style="22"/>
  </cols>
  <sheetData>
    <row r="2" spans="1:10" ht="21">
      <c r="A2" s="523" t="s">
        <v>313</v>
      </c>
      <c r="B2" s="523"/>
      <c r="C2" s="523"/>
      <c r="D2" s="523"/>
      <c r="E2" s="523"/>
      <c r="F2" s="523"/>
      <c r="G2" s="523"/>
      <c r="H2" s="67"/>
      <c r="I2" s="67"/>
    </row>
    <row r="3" spans="1:10">
      <c r="I3" s="33"/>
      <c r="J3" s="33"/>
    </row>
    <row r="4" spans="1:10" ht="15.75" thickBot="1">
      <c r="A4" s="22" t="s">
        <v>262</v>
      </c>
      <c r="I4" s="33"/>
      <c r="J4" s="33"/>
    </row>
    <row r="5" spans="1:10" ht="15.75" thickBot="1">
      <c r="F5" s="365" t="s">
        <v>289</v>
      </c>
      <c r="G5" s="309" t="s">
        <v>288</v>
      </c>
      <c r="I5" s="179"/>
      <c r="J5" s="33"/>
    </row>
    <row r="6" spans="1:10" ht="15" customHeight="1">
      <c r="A6" s="536" t="s">
        <v>263</v>
      </c>
      <c r="B6" s="537"/>
      <c r="C6" s="537"/>
      <c r="D6" s="537"/>
      <c r="E6" s="537"/>
      <c r="F6" s="318" t="s">
        <v>141</v>
      </c>
      <c r="G6" s="115" t="s">
        <v>141</v>
      </c>
      <c r="H6" s="30"/>
      <c r="I6" s="33"/>
      <c r="J6" s="33"/>
    </row>
    <row r="7" spans="1:10" ht="15.75" hidden="1" customHeight="1" thickBot="1">
      <c r="A7" s="337"/>
      <c r="B7" s="287"/>
      <c r="C7" s="287"/>
      <c r="D7" s="287"/>
      <c r="E7" s="287"/>
      <c r="F7" s="364"/>
      <c r="G7" s="350"/>
      <c r="H7" s="30"/>
      <c r="I7" s="33"/>
      <c r="J7" s="33"/>
    </row>
    <row r="8" spans="1:10">
      <c r="A8" s="482" t="s">
        <v>142</v>
      </c>
      <c r="B8" s="483"/>
      <c r="C8" s="483"/>
      <c r="D8" s="483"/>
      <c r="E8" s="541"/>
      <c r="F8" s="343">
        <v>1475.23145</v>
      </c>
      <c r="G8" s="351">
        <v>1478.86</v>
      </c>
      <c r="H8" s="30"/>
      <c r="I8" s="33"/>
      <c r="J8" s="33"/>
    </row>
    <row r="9" spans="1:10">
      <c r="A9" s="482" t="s">
        <v>273</v>
      </c>
      <c r="B9" s="483"/>
      <c r="C9" s="483"/>
      <c r="D9" s="483"/>
      <c r="E9" s="541"/>
      <c r="F9" s="343">
        <v>666.92605000000003</v>
      </c>
      <c r="G9" s="351">
        <v>668.56872500000009</v>
      </c>
      <c r="H9" s="30"/>
      <c r="I9" s="33"/>
      <c r="J9" s="33"/>
    </row>
    <row r="10" spans="1:10">
      <c r="A10" s="482" t="s">
        <v>274</v>
      </c>
      <c r="B10" s="483"/>
      <c r="C10" s="483"/>
      <c r="D10" s="483"/>
      <c r="E10" s="541"/>
      <c r="F10" s="343">
        <v>666.92605000000003</v>
      </c>
      <c r="G10" s="351">
        <v>668.56872500000009</v>
      </c>
      <c r="H10" s="30"/>
    </row>
    <row r="11" spans="1:10">
      <c r="A11" s="482" t="s">
        <v>275</v>
      </c>
      <c r="B11" s="483"/>
      <c r="C11" s="483"/>
      <c r="D11" s="483"/>
      <c r="E11" s="541"/>
      <c r="F11" s="343">
        <v>519.99464999999987</v>
      </c>
      <c r="G11" s="351">
        <v>521.27</v>
      </c>
      <c r="H11" s="30"/>
    </row>
    <row r="12" spans="1:10" ht="15.75" thickBot="1">
      <c r="A12" s="450" t="s">
        <v>264</v>
      </c>
      <c r="B12" s="451"/>
      <c r="C12" s="451"/>
      <c r="D12" s="451"/>
      <c r="E12" s="545"/>
      <c r="F12" s="344">
        <v>376.26049999999998</v>
      </c>
      <c r="G12" s="352">
        <v>377.18725000000001</v>
      </c>
      <c r="H12" s="30"/>
    </row>
    <row r="13" spans="1:10" ht="15.75" thickBot="1">
      <c r="A13" s="353"/>
      <c r="B13" s="196"/>
      <c r="C13" s="196"/>
      <c r="D13" s="196"/>
      <c r="E13" s="196"/>
      <c r="F13" s="338"/>
      <c r="G13" s="354"/>
      <c r="H13" s="30"/>
    </row>
    <row r="14" spans="1:10" ht="15.75" thickBot="1">
      <c r="A14" s="196"/>
      <c r="B14" s="196"/>
      <c r="C14" s="196"/>
      <c r="D14" s="196"/>
      <c r="E14" s="196"/>
      <c r="F14" s="346" t="s">
        <v>289</v>
      </c>
      <c r="G14" s="345" t="s">
        <v>288</v>
      </c>
      <c r="H14" s="30"/>
    </row>
    <row r="15" spans="1:10">
      <c r="A15" s="538" t="s">
        <v>265</v>
      </c>
      <c r="B15" s="539"/>
      <c r="C15" s="539"/>
      <c r="D15" s="539"/>
      <c r="E15" s="540"/>
      <c r="F15" s="349" t="s">
        <v>141</v>
      </c>
      <c r="G15" s="349" t="s">
        <v>141</v>
      </c>
      <c r="H15" s="30"/>
    </row>
    <row r="16" spans="1:10">
      <c r="A16" s="482" t="s">
        <v>276</v>
      </c>
      <c r="B16" s="483"/>
      <c r="C16" s="483"/>
      <c r="D16" s="483"/>
      <c r="E16" s="541"/>
      <c r="F16" s="343">
        <v>519.99464999999987</v>
      </c>
      <c r="G16" s="341">
        <v>521.27</v>
      </c>
      <c r="H16" s="30"/>
    </row>
    <row r="17" spans="1:8">
      <c r="A17" s="482" t="s">
        <v>266</v>
      </c>
      <c r="B17" s="483"/>
      <c r="C17" s="483"/>
      <c r="D17" s="483"/>
      <c r="E17" s="541"/>
      <c r="F17" s="343">
        <v>280.60689999999994</v>
      </c>
      <c r="G17" s="341">
        <v>281.29804999999999</v>
      </c>
      <c r="H17" s="30"/>
    </row>
    <row r="18" spans="1:8">
      <c r="A18" s="482" t="s">
        <v>277</v>
      </c>
      <c r="B18" s="483"/>
      <c r="C18" s="483"/>
      <c r="D18" s="483"/>
      <c r="E18" s="541"/>
      <c r="F18" s="343">
        <v>376.26049999999998</v>
      </c>
      <c r="G18" s="347">
        <v>377.18725000000001</v>
      </c>
      <c r="H18" s="30"/>
    </row>
    <row r="19" spans="1:8" ht="15.75" thickBot="1">
      <c r="A19" s="477" t="s">
        <v>267</v>
      </c>
      <c r="B19" s="478"/>
      <c r="C19" s="478"/>
      <c r="D19" s="478"/>
      <c r="E19" s="543"/>
      <c r="F19" s="344">
        <v>280.61</v>
      </c>
      <c r="G19" s="348">
        <v>281.3</v>
      </c>
      <c r="H19" s="30"/>
    </row>
    <row r="20" spans="1:8" ht="15.75" thickBot="1">
      <c r="A20" s="195"/>
      <c r="B20" s="195"/>
      <c r="C20" s="195"/>
      <c r="D20" s="195"/>
      <c r="E20" s="195"/>
      <c r="F20" s="340"/>
      <c r="G20" s="284"/>
      <c r="H20" s="30"/>
    </row>
    <row r="21" spans="1:8" ht="15.75" thickBot="1">
      <c r="A21" s="195"/>
      <c r="B21" s="195"/>
      <c r="C21" s="195"/>
      <c r="D21" s="195"/>
      <c r="E21" s="195"/>
      <c r="F21" s="286" t="s">
        <v>289</v>
      </c>
      <c r="G21" s="358" t="s">
        <v>288</v>
      </c>
      <c r="H21" s="30"/>
    </row>
    <row r="22" spans="1:8">
      <c r="A22" s="538" t="s">
        <v>268</v>
      </c>
      <c r="B22" s="539"/>
      <c r="C22" s="539"/>
      <c r="D22" s="539"/>
      <c r="E22" s="542"/>
      <c r="F22" s="361" t="s">
        <v>141</v>
      </c>
      <c r="G22" s="359" t="s">
        <v>141</v>
      </c>
      <c r="H22" s="30"/>
    </row>
    <row r="23" spans="1:8">
      <c r="A23" s="482" t="s">
        <v>269</v>
      </c>
      <c r="B23" s="483"/>
      <c r="C23" s="483"/>
      <c r="D23" s="483"/>
      <c r="E23" s="544"/>
      <c r="F23" s="343">
        <v>376.26049999999998</v>
      </c>
      <c r="G23" s="360">
        <v>377.18725000000001</v>
      </c>
      <c r="H23" s="30"/>
    </row>
    <row r="24" spans="1:8" ht="15.75" thickBot="1">
      <c r="A24" s="477" t="s">
        <v>270</v>
      </c>
      <c r="B24" s="478"/>
      <c r="C24" s="478"/>
      <c r="D24" s="478"/>
      <c r="E24" s="556"/>
      <c r="F24" s="344">
        <v>202.26919999999998</v>
      </c>
      <c r="G24" s="342">
        <v>202.76740000000001</v>
      </c>
      <c r="H24" s="30"/>
    </row>
    <row r="25" spans="1:8" ht="15.75" thickBot="1">
      <c r="A25" s="195"/>
      <c r="B25" s="195"/>
      <c r="C25" s="195"/>
      <c r="D25" s="195"/>
      <c r="E25" s="195"/>
      <c r="F25" s="338"/>
      <c r="G25" s="339"/>
      <c r="H25" s="30"/>
    </row>
    <row r="26" spans="1:8" ht="15.75" thickBot="1">
      <c r="A26" s="195"/>
      <c r="B26" s="195"/>
      <c r="C26" s="195"/>
      <c r="D26" s="195"/>
      <c r="E26" s="195"/>
      <c r="F26" s="355" t="s">
        <v>289</v>
      </c>
      <c r="G26" s="358" t="s">
        <v>288</v>
      </c>
      <c r="H26" s="30"/>
    </row>
    <row r="27" spans="1:8">
      <c r="A27" s="547" t="s">
        <v>271</v>
      </c>
      <c r="B27" s="548"/>
      <c r="C27" s="548"/>
      <c r="D27" s="548"/>
      <c r="E27" s="549"/>
      <c r="F27" s="362" t="s">
        <v>141</v>
      </c>
      <c r="G27" s="363" t="s">
        <v>141</v>
      </c>
      <c r="H27" s="30"/>
    </row>
    <row r="28" spans="1:8">
      <c r="A28" s="502" t="s">
        <v>272</v>
      </c>
      <c r="B28" s="503"/>
      <c r="C28" s="503"/>
      <c r="D28" s="503"/>
      <c r="E28" s="534"/>
      <c r="F28" s="356">
        <v>376.26049999999998</v>
      </c>
      <c r="G28" s="347">
        <v>377.18725000000001</v>
      </c>
      <c r="H28" s="30"/>
    </row>
    <row r="29" spans="1:8">
      <c r="A29" s="550" t="s">
        <v>278</v>
      </c>
      <c r="B29" s="551"/>
      <c r="C29" s="551"/>
      <c r="D29" s="551"/>
      <c r="E29" s="552"/>
      <c r="F29" s="356">
        <v>202.26919999999998</v>
      </c>
      <c r="G29" s="341">
        <v>202.76740000000001</v>
      </c>
      <c r="H29" s="30"/>
    </row>
    <row r="30" spans="1:8" ht="15.75" thickBot="1">
      <c r="A30" s="553" t="s">
        <v>279</v>
      </c>
      <c r="B30" s="554"/>
      <c r="C30" s="554"/>
      <c r="D30" s="554"/>
      <c r="E30" s="555"/>
      <c r="F30" s="357">
        <v>146.32239999999999</v>
      </c>
      <c r="G30" s="348">
        <v>146.68280000000001</v>
      </c>
      <c r="H30" s="30"/>
    </row>
    <row r="31" spans="1:8" s="10" customFormat="1">
      <c r="A31" s="71"/>
      <c r="B31" s="71"/>
      <c r="C31" s="71"/>
      <c r="D31" s="71"/>
      <c r="E31" s="71"/>
      <c r="F31" s="70"/>
    </row>
    <row r="32" spans="1:8" s="10" customFormat="1">
      <c r="A32" s="71"/>
      <c r="B32" s="71"/>
      <c r="C32" s="71"/>
      <c r="D32" s="71"/>
      <c r="E32" s="71"/>
      <c r="F32" s="70"/>
    </row>
    <row r="33" spans="1:7" s="10" customFormat="1">
      <c r="A33" s="72"/>
      <c r="B33" s="72"/>
      <c r="C33" s="72"/>
      <c r="D33" s="72"/>
      <c r="E33" s="72"/>
      <c r="F33" s="73"/>
    </row>
    <row r="34" spans="1:7">
      <c r="A34" s="535"/>
      <c r="B34" s="535"/>
      <c r="C34" s="535"/>
      <c r="D34" s="535"/>
      <c r="E34" s="535"/>
      <c r="F34" s="11"/>
      <c r="G34" s="10"/>
    </row>
    <row r="35" spans="1:7">
      <c r="A35" s="535"/>
      <c r="B35" s="535"/>
      <c r="C35" s="535"/>
      <c r="D35" s="535"/>
      <c r="E35" s="535"/>
      <c r="F35" s="11"/>
      <c r="G35" s="10"/>
    </row>
    <row r="36" spans="1:7">
      <c r="A36" s="535"/>
      <c r="B36" s="535"/>
      <c r="C36" s="535"/>
      <c r="D36" s="535"/>
      <c r="E36" s="535"/>
      <c r="F36" s="11"/>
      <c r="G36" s="10"/>
    </row>
    <row r="37" spans="1:7">
      <c r="A37" s="546"/>
      <c r="B37" s="546"/>
      <c r="C37" s="546"/>
      <c r="D37" s="546"/>
      <c r="E37" s="546"/>
      <c r="F37" s="74"/>
      <c r="G37" s="10"/>
    </row>
    <row r="38" spans="1:7">
      <c r="A38" s="535"/>
      <c r="B38" s="535"/>
      <c r="C38" s="535"/>
      <c r="D38" s="535"/>
      <c r="E38" s="535"/>
      <c r="F38" s="11"/>
      <c r="G38" s="10"/>
    </row>
    <row r="39" spans="1:7">
      <c r="A39" s="546"/>
      <c r="B39" s="546"/>
      <c r="C39" s="546"/>
      <c r="D39" s="546"/>
      <c r="E39" s="546"/>
      <c r="F39" s="11"/>
      <c r="G39" s="10"/>
    </row>
    <row r="40" spans="1:7">
      <c r="A40" s="546"/>
      <c r="B40" s="546"/>
      <c r="C40" s="546"/>
      <c r="D40" s="546"/>
      <c r="E40" s="546"/>
      <c r="F40" s="11"/>
      <c r="G40" s="10"/>
    </row>
    <row r="41" spans="1:7">
      <c r="A41" s="10"/>
      <c r="B41" s="10"/>
      <c r="C41" s="10"/>
      <c r="D41" s="10"/>
      <c r="E41" s="10"/>
      <c r="F41" s="10"/>
      <c r="G41" s="10"/>
    </row>
    <row r="183" spans="1:1">
      <c r="A183" s="22" t="e">
        <f>'CÀRRECS ACADÈMICS'!5:5- Les dues pagues extres inclouen: sou base i triennis</f>
        <v>#NAME?</v>
      </c>
    </row>
  </sheetData>
  <mergeCells count="26">
    <mergeCell ref="A2:G2"/>
    <mergeCell ref="A39:E39"/>
    <mergeCell ref="A40:E40"/>
    <mergeCell ref="A9:E9"/>
    <mergeCell ref="A10:E10"/>
    <mergeCell ref="A11:E11"/>
    <mergeCell ref="A37:E37"/>
    <mergeCell ref="A38:E38"/>
    <mergeCell ref="A27:E27"/>
    <mergeCell ref="A29:E29"/>
    <mergeCell ref="A30:E30"/>
    <mergeCell ref="A8:E8"/>
    <mergeCell ref="A36:E36"/>
    <mergeCell ref="A16:E16"/>
    <mergeCell ref="A24:E24"/>
    <mergeCell ref="A17:E17"/>
    <mergeCell ref="A28:E28"/>
    <mergeCell ref="A34:E34"/>
    <mergeCell ref="A35:E35"/>
    <mergeCell ref="A6:E6"/>
    <mergeCell ref="A15:E15"/>
    <mergeCell ref="A18:E18"/>
    <mergeCell ref="A22:E22"/>
    <mergeCell ref="A19:E19"/>
    <mergeCell ref="A23:E23"/>
    <mergeCell ref="A12:E12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K120"/>
  <sheetViews>
    <sheetView showGridLines="0" zoomScale="80" zoomScaleNormal="80" workbookViewId="0">
      <selection activeCell="A112" sqref="A112"/>
    </sheetView>
  </sheetViews>
  <sheetFormatPr defaultColWidth="9.140625" defaultRowHeight="15"/>
  <cols>
    <col min="1" max="2" width="9.140625" style="22"/>
    <col min="3" max="3" width="12.140625" style="22" customWidth="1"/>
    <col min="4" max="5" width="13.140625" style="22" customWidth="1"/>
    <col min="6" max="6" width="19.85546875" style="22" customWidth="1"/>
    <col min="7" max="7" width="21.42578125" style="22" customWidth="1"/>
    <col min="8" max="8" width="25.85546875" style="22" customWidth="1"/>
    <col min="9" max="9" width="24.42578125" style="22" customWidth="1"/>
    <col min="10" max="16384" width="9.140625" style="22"/>
  </cols>
  <sheetData>
    <row r="1" spans="1:11">
      <c r="A1" s="64"/>
      <c r="B1" s="31"/>
      <c r="C1" s="31"/>
    </row>
    <row r="2" spans="1:11" ht="21">
      <c r="A2" s="523" t="s">
        <v>320</v>
      </c>
      <c r="B2" s="523"/>
      <c r="C2" s="523"/>
      <c r="D2" s="523"/>
      <c r="E2" s="523"/>
      <c r="F2" s="523"/>
      <c r="G2" s="523"/>
      <c r="H2" s="523"/>
      <c r="I2" s="523"/>
      <c r="J2" s="67"/>
    </row>
    <row r="4" spans="1:11" ht="21" customHeight="1">
      <c r="A4" s="458" t="s">
        <v>319</v>
      </c>
      <c r="B4" s="458"/>
      <c r="C4" s="458"/>
      <c r="D4" s="458"/>
      <c r="E4" s="458"/>
      <c r="F4" s="458"/>
      <c r="G4" s="458"/>
      <c r="H4" s="458"/>
      <c r="I4" s="458"/>
      <c r="J4" s="458"/>
    </row>
    <row r="5" spans="1:11" ht="15.75" thickBot="1">
      <c r="A5" s="458"/>
      <c r="B5" s="458"/>
      <c r="C5" s="458"/>
      <c r="D5" s="458"/>
      <c r="E5" s="458"/>
      <c r="F5" s="458"/>
      <c r="G5" s="458"/>
      <c r="H5" s="458"/>
      <c r="I5" s="458"/>
      <c r="J5" s="458"/>
    </row>
    <row r="6" spans="1:11" ht="15.75" thickBot="1">
      <c r="A6" s="645"/>
      <c r="B6" s="645"/>
      <c r="C6" s="645"/>
      <c r="D6" s="645"/>
      <c r="E6" s="645"/>
      <c r="F6" s="643" t="s">
        <v>289</v>
      </c>
      <c r="G6" s="644"/>
      <c r="H6" s="646" t="s">
        <v>288</v>
      </c>
      <c r="I6" s="647"/>
    </row>
    <row r="7" spans="1:11" ht="15" customHeight="1">
      <c r="A7" s="460" t="s">
        <v>3</v>
      </c>
      <c r="B7" s="461"/>
      <c r="C7" s="461"/>
      <c r="D7" s="475" t="s">
        <v>143</v>
      </c>
      <c r="E7" s="468"/>
      <c r="F7" s="486" t="s">
        <v>144</v>
      </c>
      <c r="G7" s="466" t="s">
        <v>145</v>
      </c>
      <c r="H7" s="486" t="s">
        <v>144</v>
      </c>
      <c r="I7" s="466" t="s">
        <v>145</v>
      </c>
    </row>
    <row r="8" spans="1:11">
      <c r="A8" s="463"/>
      <c r="B8" s="464"/>
      <c r="C8" s="464"/>
      <c r="D8" s="476"/>
      <c r="E8" s="470"/>
      <c r="F8" s="469"/>
      <c r="G8" s="467"/>
      <c r="H8" s="469"/>
      <c r="I8" s="467"/>
    </row>
    <row r="9" spans="1:11">
      <c r="A9" s="463"/>
      <c r="B9" s="464"/>
      <c r="C9" s="464"/>
      <c r="D9" s="476"/>
      <c r="E9" s="470"/>
      <c r="F9" s="469"/>
      <c r="G9" s="467"/>
      <c r="H9" s="469"/>
      <c r="I9" s="467"/>
    </row>
    <row r="10" spans="1:11">
      <c r="A10" s="579">
        <v>29</v>
      </c>
      <c r="B10" s="580"/>
      <c r="C10" s="580"/>
      <c r="D10" s="642" t="s">
        <v>146</v>
      </c>
      <c r="E10" s="573"/>
      <c r="F10" s="366">
        <v>153.84354999999996</v>
      </c>
      <c r="G10" s="367">
        <f>9.53*1.015</f>
        <v>9.6729499999999984</v>
      </c>
      <c r="H10" s="366">
        <f>151.57*1.0175</f>
        <v>154.222475</v>
      </c>
      <c r="I10" s="367">
        <v>9.69</v>
      </c>
    </row>
    <row r="11" spans="1:11">
      <c r="A11" s="579">
        <v>27</v>
      </c>
      <c r="B11" s="580"/>
      <c r="C11" s="580"/>
      <c r="D11" s="642" t="s">
        <v>147</v>
      </c>
      <c r="E11" s="573"/>
      <c r="F11" s="366">
        <v>124.6014</v>
      </c>
      <c r="G11" s="367">
        <f>7.75*1.015</f>
        <v>7.8662499999999991</v>
      </c>
      <c r="H11" s="366">
        <f>122.76*1.0175</f>
        <v>124.90830000000001</v>
      </c>
      <c r="I11" s="367">
        <f>7.75*1.0175</f>
        <v>7.885625000000001</v>
      </c>
    </row>
    <row r="12" spans="1:11" ht="15.75" thickBot="1">
      <c r="A12" s="591">
        <v>26</v>
      </c>
      <c r="B12" s="592"/>
      <c r="C12" s="592"/>
      <c r="D12" s="631" t="s">
        <v>148</v>
      </c>
      <c r="E12" s="605"/>
      <c r="F12" s="368">
        <v>105.44834999999999</v>
      </c>
      <c r="G12" s="369">
        <v>6.61</v>
      </c>
      <c r="H12" s="368">
        <f>103.89*1.0175</f>
        <v>105.70807500000001</v>
      </c>
      <c r="I12" s="369">
        <v>6.63</v>
      </c>
    </row>
    <row r="13" spans="1:11">
      <c r="A13" s="632"/>
      <c r="B13" s="632"/>
      <c r="C13" s="632"/>
      <c r="D13" s="633"/>
      <c r="E13" s="633"/>
      <c r="F13" s="630"/>
      <c r="G13" s="630"/>
      <c r="H13" s="59"/>
      <c r="I13" s="630"/>
      <c r="J13" s="630"/>
      <c r="K13" s="33"/>
    </row>
    <row r="14" spans="1:11">
      <c r="A14" s="632"/>
      <c r="B14" s="632"/>
      <c r="C14" s="632"/>
      <c r="D14" s="633"/>
      <c r="E14" s="633"/>
      <c r="F14" s="630"/>
      <c r="G14" s="630"/>
      <c r="H14" s="59"/>
      <c r="I14" s="630"/>
      <c r="J14" s="630"/>
      <c r="K14" s="33"/>
    </row>
    <row r="15" spans="1:11" ht="15" customHeight="1">
      <c r="A15" s="458" t="s">
        <v>318</v>
      </c>
      <c r="B15" s="458"/>
      <c r="C15" s="458"/>
      <c r="D15" s="458"/>
      <c r="E15" s="458"/>
      <c r="F15" s="458"/>
      <c r="G15" s="458"/>
      <c r="H15" s="458"/>
      <c r="I15" s="458"/>
      <c r="J15" s="65"/>
      <c r="K15" s="33"/>
    </row>
    <row r="16" spans="1:11" ht="15.75" customHeight="1" thickBot="1">
      <c r="A16" s="458"/>
      <c r="B16" s="458"/>
      <c r="C16" s="458"/>
      <c r="D16" s="458"/>
      <c r="E16" s="458"/>
      <c r="F16" s="458"/>
      <c r="G16" s="458"/>
      <c r="H16" s="458"/>
      <c r="I16" s="458"/>
      <c r="J16" s="65"/>
      <c r="K16" s="33"/>
    </row>
    <row r="17" spans="1:10" ht="15.75" thickBot="1">
      <c r="G17" s="375" t="s">
        <v>289</v>
      </c>
      <c r="H17" s="285" t="s">
        <v>288</v>
      </c>
      <c r="I17" s="308"/>
    </row>
    <row r="18" spans="1:10" ht="15" customHeight="1">
      <c r="D18" s="460" t="s">
        <v>68</v>
      </c>
      <c r="E18" s="461"/>
      <c r="F18" s="466"/>
      <c r="G18" s="494" t="s">
        <v>141</v>
      </c>
      <c r="H18" s="634" t="s">
        <v>141</v>
      </c>
      <c r="I18" s="33"/>
    </row>
    <row r="19" spans="1:10">
      <c r="D19" s="463"/>
      <c r="E19" s="464"/>
      <c r="F19" s="467"/>
      <c r="G19" s="495"/>
      <c r="H19" s="635"/>
      <c r="I19" s="33"/>
    </row>
    <row r="20" spans="1:10">
      <c r="D20" s="463"/>
      <c r="E20" s="464"/>
      <c r="F20" s="467"/>
      <c r="G20" s="495"/>
      <c r="H20" s="635"/>
      <c r="I20" s="33"/>
    </row>
    <row r="21" spans="1:10">
      <c r="D21" s="636" t="s">
        <v>149</v>
      </c>
      <c r="E21" s="637"/>
      <c r="F21" s="638"/>
      <c r="G21" s="373">
        <v>164.33865</v>
      </c>
      <c r="H21" s="371">
        <v>164.743425</v>
      </c>
      <c r="I21" s="33"/>
    </row>
    <row r="22" spans="1:10">
      <c r="D22" s="636" t="s">
        <v>150</v>
      </c>
      <c r="E22" s="637"/>
      <c r="F22" s="638"/>
      <c r="G22" s="373">
        <v>133.1</v>
      </c>
      <c r="H22" s="371">
        <v>133.43</v>
      </c>
      <c r="I22" s="33"/>
    </row>
    <row r="23" spans="1:10">
      <c r="D23" s="636" t="s">
        <v>151</v>
      </c>
      <c r="E23" s="637"/>
      <c r="F23" s="638"/>
      <c r="G23" s="373">
        <v>123.61685</v>
      </c>
      <c r="H23" s="371">
        <v>123.92132500000001</v>
      </c>
    </row>
    <row r="24" spans="1:10">
      <c r="D24" s="636" t="s">
        <v>152</v>
      </c>
      <c r="E24" s="637"/>
      <c r="F24" s="638"/>
      <c r="G24" s="373">
        <v>114.10629999999999</v>
      </c>
      <c r="H24" s="371">
        <v>114.38735000000001</v>
      </c>
    </row>
    <row r="25" spans="1:10" ht="15.75" thickBot="1">
      <c r="D25" s="639" t="s">
        <v>332</v>
      </c>
      <c r="E25" s="640"/>
      <c r="F25" s="641"/>
      <c r="G25" s="374">
        <v>104.59574999999998</v>
      </c>
      <c r="H25" s="372">
        <v>104.86</v>
      </c>
    </row>
    <row r="26" spans="1:10">
      <c r="D26" s="308"/>
      <c r="E26" s="308"/>
      <c r="F26" s="308"/>
      <c r="G26" s="68"/>
    </row>
    <row r="28" spans="1:10" ht="21">
      <c r="A28" s="523" t="s">
        <v>317</v>
      </c>
      <c r="B28" s="523"/>
      <c r="C28" s="523"/>
      <c r="D28" s="523"/>
      <c r="E28" s="523"/>
      <c r="F28" s="523"/>
      <c r="G28" s="523"/>
      <c r="H28" s="523"/>
      <c r="I28" s="523"/>
      <c r="J28" s="67"/>
    </row>
    <row r="29" spans="1:10" ht="17.25" customHeight="1">
      <c r="A29" s="69"/>
      <c r="B29" s="69"/>
      <c r="C29" s="69"/>
      <c r="D29" s="69"/>
      <c r="E29" s="69"/>
      <c r="F29" s="69"/>
      <c r="G29" s="69"/>
      <c r="H29" s="67"/>
      <c r="I29" s="67"/>
    </row>
    <row r="30" spans="1:10" ht="10.5" customHeight="1"/>
    <row r="31" spans="1:10" ht="18.75">
      <c r="A31" s="65" t="s">
        <v>316</v>
      </c>
      <c r="B31" s="65"/>
      <c r="C31" s="65"/>
      <c r="D31" s="65"/>
      <c r="E31" s="65"/>
      <c r="F31" s="65"/>
      <c r="G31" s="65"/>
      <c r="H31" s="65"/>
      <c r="I31" s="65"/>
    </row>
    <row r="32" spans="1:10" ht="15.75" thickBot="1">
      <c r="D32" s="44"/>
      <c r="E32" s="44"/>
    </row>
    <row r="33" spans="1:9" ht="15.75" thickBot="1">
      <c r="A33" s="279"/>
      <c r="B33" s="279"/>
      <c r="C33" s="279"/>
      <c r="D33" s="376"/>
      <c r="E33" s="376"/>
      <c r="F33" s="279"/>
      <c r="G33" s="279"/>
      <c r="H33" s="375" t="s">
        <v>289</v>
      </c>
      <c r="I33" s="345" t="s">
        <v>288</v>
      </c>
    </row>
    <row r="34" spans="1:9" ht="15" customHeight="1">
      <c r="A34" s="460" t="s">
        <v>153</v>
      </c>
      <c r="B34" s="461"/>
      <c r="C34" s="466"/>
      <c r="D34" s="615" t="s">
        <v>154</v>
      </c>
      <c r="E34" s="616"/>
      <c r="F34" s="486" t="s">
        <v>68</v>
      </c>
      <c r="G34" s="468"/>
      <c r="H34" s="471" t="s">
        <v>155</v>
      </c>
      <c r="I34" s="561" t="s">
        <v>155</v>
      </c>
    </row>
    <row r="35" spans="1:9">
      <c r="A35" s="463"/>
      <c r="B35" s="464"/>
      <c r="C35" s="467"/>
      <c r="D35" s="617"/>
      <c r="E35" s="618"/>
      <c r="F35" s="469"/>
      <c r="G35" s="470"/>
      <c r="H35" s="472"/>
      <c r="I35" s="562"/>
    </row>
    <row r="36" spans="1:9">
      <c r="A36" s="463"/>
      <c r="B36" s="464"/>
      <c r="C36" s="467"/>
      <c r="D36" s="619"/>
      <c r="E36" s="620"/>
      <c r="F36" s="469"/>
      <c r="G36" s="470"/>
      <c r="H36" s="472"/>
      <c r="I36" s="562"/>
    </row>
    <row r="37" spans="1:9">
      <c r="A37" s="606" t="s">
        <v>161</v>
      </c>
      <c r="B37" s="607"/>
      <c r="C37" s="608"/>
      <c r="D37" s="557"/>
      <c r="E37" s="558"/>
      <c r="F37" s="572" t="s">
        <v>156</v>
      </c>
      <c r="G37" s="573"/>
      <c r="H37" s="373">
        <v>30.764649999999996</v>
      </c>
      <c r="I37" s="371">
        <v>30.840425</v>
      </c>
    </row>
    <row r="38" spans="1:9">
      <c r="A38" s="609"/>
      <c r="B38" s="610"/>
      <c r="C38" s="611"/>
      <c r="D38" s="626" t="s">
        <v>157</v>
      </c>
      <c r="E38" s="627"/>
      <c r="F38" s="572" t="s">
        <v>158</v>
      </c>
      <c r="G38" s="573"/>
      <c r="H38" s="373">
        <v>24.918249999999997</v>
      </c>
      <c r="I38" s="371">
        <v>24.96</v>
      </c>
    </row>
    <row r="39" spans="1:9">
      <c r="A39" s="609"/>
      <c r="B39" s="610"/>
      <c r="C39" s="611"/>
      <c r="D39" s="628"/>
      <c r="E39" s="629"/>
      <c r="F39" s="572" t="s">
        <v>159</v>
      </c>
      <c r="G39" s="573"/>
      <c r="H39" s="373">
        <v>21.081549999999996</v>
      </c>
      <c r="I39" s="371">
        <v>21.133475000000001</v>
      </c>
    </row>
    <row r="40" spans="1:9">
      <c r="A40" s="609"/>
      <c r="B40" s="610"/>
      <c r="C40" s="611"/>
      <c r="D40" s="557">
        <v>356</v>
      </c>
      <c r="E40" s="558"/>
      <c r="F40" s="624" t="s">
        <v>160</v>
      </c>
      <c r="G40" s="575"/>
      <c r="H40" s="387">
        <v>32.530749999999991</v>
      </c>
      <c r="I40" s="386">
        <v>32.610875</v>
      </c>
    </row>
    <row r="41" spans="1:9">
      <c r="A41" s="609"/>
      <c r="B41" s="610"/>
      <c r="C41" s="611"/>
      <c r="D41" s="557">
        <v>288</v>
      </c>
      <c r="E41" s="558"/>
      <c r="F41" s="623" t="s">
        <v>162</v>
      </c>
      <c r="G41" s="560"/>
      <c r="H41" s="373">
        <v>26.308799999999998</v>
      </c>
      <c r="I41" s="371">
        <v>26.373600000000003</v>
      </c>
    </row>
    <row r="42" spans="1:9">
      <c r="A42" s="609"/>
      <c r="B42" s="610"/>
      <c r="C42" s="611"/>
      <c r="D42" s="557" t="s">
        <v>163</v>
      </c>
      <c r="E42" s="558"/>
      <c r="F42" s="623" t="s">
        <v>164</v>
      </c>
      <c r="G42" s="560"/>
      <c r="H42" s="373">
        <v>24.745699999999996</v>
      </c>
      <c r="I42" s="371">
        <v>24.806650000000001</v>
      </c>
    </row>
    <row r="43" spans="1:9">
      <c r="A43" s="609"/>
      <c r="B43" s="610"/>
      <c r="C43" s="611"/>
      <c r="D43" s="557" t="s">
        <v>163</v>
      </c>
      <c r="E43" s="558"/>
      <c r="F43" s="623" t="s">
        <v>165</v>
      </c>
      <c r="G43" s="560"/>
      <c r="H43" s="373">
        <v>22.675099999999997</v>
      </c>
      <c r="I43" s="371">
        <v>22.74</v>
      </c>
    </row>
    <row r="44" spans="1:9" ht="15.75" thickBot="1">
      <c r="A44" s="612"/>
      <c r="B44" s="613"/>
      <c r="C44" s="614"/>
      <c r="D44" s="568" t="s">
        <v>163</v>
      </c>
      <c r="E44" s="569"/>
      <c r="F44" s="625" t="s">
        <v>166</v>
      </c>
      <c r="G44" s="571"/>
      <c r="H44" s="374">
        <v>20.96</v>
      </c>
      <c r="I44" s="372">
        <v>21.01</v>
      </c>
    </row>
    <row r="45" spans="1:9">
      <c r="A45" s="600"/>
      <c r="B45" s="601"/>
      <c r="C45" s="604"/>
      <c r="D45" s="602"/>
      <c r="E45" s="603"/>
      <c r="F45" s="576" t="s">
        <v>156</v>
      </c>
      <c r="G45" s="577"/>
      <c r="H45" s="377">
        <v>76.906549999999982</v>
      </c>
      <c r="I45" s="378">
        <v>77.095974999999996</v>
      </c>
    </row>
    <row r="46" spans="1:9">
      <c r="A46" s="565"/>
      <c r="B46" s="566"/>
      <c r="C46" s="567"/>
      <c r="D46" s="557" t="s">
        <v>167</v>
      </c>
      <c r="E46" s="558"/>
      <c r="F46" s="559" t="s">
        <v>158</v>
      </c>
      <c r="G46" s="560"/>
      <c r="H46" s="379">
        <v>62.290549999999989</v>
      </c>
      <c r="I46" s="373">
        <v>62.443975000000002</v>
      </c>
    </row>
    <row r="47" spans="1:9" ht="15.75" thickBot="1">
      <c r="A47" s="565"/>
      <c r="B47" s="566"/>
      <c r="C47" s="567"/>
      <c r="D47" s="568"/>
      <c r="E47" s="569"/>
      <c r="F47" s="570" t="s">
        <v>159</v>
      </c>
      <c r="G47" s="571"/>
      <c r="H47" s="380">
        <v>52.708949999999994</v>
      </c>
      <c r="I47" s="374">
        <v>52.838775000000005</v>
      </c>
    </row>
    <row r="48" spans="1:9">
      <c r="A48" s="565"/>
      <c r="B48" s="566"/>
      <c r="C48" s="567"/>
      <c r="D48" s="557" t="s">
        <v>168</v>
      </c>
      <c r="E48" s="558"/>
      <c r="F48" s="576" t="s">
        <v>160</v>
      </c>
      <c r="G48" s="577"/>
      <c r="H48" s="377">
        <v>81.047749999999994</v>
      </c>
      <c r="I48" s="378">
        <v>81.247375000000005</v>
      </c>
    </row>
    <row r="49" spans="1:9">
      <c r="A49" s="565" t="s">
        <v>331</v>
      </c>
      <c r="B49" s="566"/>
      <c r="C49" s="567"/>
      <c r="D49" s="557" t="s">
        <v>169</v>
      </c>
      <c r="E49" s="558"/>
      <c r="F49" s="559" t="s">
        <v>162</v>
      </c>
      <c r="G49" s="560"/>
      <c r="H49" s="379">
        <v>65.69</v>
      </c>
      <c r="I49" s="373">
        <v>65.849999999999994</v>
      </c>
    </row>
    <row r="50" spans="1:9">
      <c r="A50" s="565"/>
      <c r="B50" s="566"/>
      <c r="C50" s="567"/>
      <c r="D50" s="557" t="s">
        <v>170</v>
      </c>
      <c r="E50" s="558"/>
      <c r="F50" s="559" t="s">
        <v>164</v>
      </c>
      <c r="G50" s="560"/>
      <c r="H50" s="379">
        <v>63.23449999999999</v>
      </c>
      <c r="I50" s="373">
        <v>63.390250000000002</v>
      </c>
    </row>
    <row r="51" spans="1:9">
      <c r="A51" s="565"/>
      <c r="B51" s="566"/>
      <c r="C51" s="567"/>
      <c r="D51" s="557" t="s">
        <v>170</v>
      </c>
      <c r="E51" s="558"/>
      <c r="F51" s="559" t="s">
        <v>165</v>
      </c>
      <c r="G51" s="560"/>
      <c r="H51" s="379">
        <v>57.96</v>
      </c>
      <c r="I51" s="373">
        <v>58.1</v>
      </c>
    </row>
    <row r="52" spans="1:9" ht="15.75" thickBot="1">
      <c r="A52" s="581"/>
      <c r="B52" s="582"/>
      <c r="C52" s="599"/>
      <c r="D52" s="568" t="s">
        <v>170</v>
      </c>
      <c r="E52" s="569"/>
      <c r="F52" s="570" t="s">
        <v>166</v>
      </c>
      <c r="G52" s="571"/>
      <c r="H52" s="380">
        <v>53.571699999999993</v>
      </c>
      <c r="I52" s="374">
        <v>53.703650000000003</v>
      </c>
    </row>
    <row r="53" spans="1:9">
      <c r="A53" s="600"/>
      <c r="B53" s="601"/>
      <c r="C53" s="604"/>
      <c r="D53" s="602" t="s">
        <v>171</v>
      </c>
      <c r="E53" s="603"/>
      <c r="F53" s="576" t="s">
        <v>156</v>
      </c>
      <c r="G53" s="577"/>
      <c r="H53" s="377">
        <v>116.12614999999998</v>
      </c>
      <c r="I53" s="378">
        <v>116.42</v>
      </c>
    </row>
    <row r="54" spans="1:9">
      <c r="A54" s="565"/>
      <c r="B54" s="566"/>
      <c r="C54" s="567"/>
      <c r="D54" s="557" t="s">
        <v>172</v>
      </c>
      <c r="E54" s="558"/>
      <c r="F54" s="559" t="s">
        <v>158</v>
      </c>
      <c r="G54" s="560"/>
      <c r="H54" s="379">
        <v>94.100649999999987</v>
      </c>
      <c r="I54" s="373">
        <v>94.332425000000001</v>
      </c>
    </row>
    <row r="55" spans="1:9" ht="15.75" thickBot="1">
      <c r="A55" s="565"/>
      <c r="B55" s="566"/>
      <c r="C55" s="567"/>
      <c r="D55" s="568" t="s">
        <v>173</v>
      </c>
      <c r="E55" s="569"/>
      <c r="F55" s="570" t="s">
        <v>159</v>
      </c>
      <c r="G55" s="571"/>
      <c r="H55" s="380">
        <v>84.031849999999991</v>
      </c>
      <c r="I55" s="374">
        <v>84.238825000000006</v>
      </c>
    </row>
    <row r="56" spans="1:9">
      <c r="A56" s="565"/>
      <c r="B56" s="566"/>
      <c r="C56" s="567"/>
      <c r="D56" s="557" t="s">
        <v>171</v>
      </c>
      <c r="E56" s="558"/>
      <c r="F56" s="576" t="s">
        <v>160</v>
      </c>
      <c r="G56" s="577"/>
      <c r="H56" s="377">
        <v>121.61729999999999</v>
      </c>
      <c r="I56" s="378">
        <v>121.91685</v>
      </c>
    </row>
    <row r="57" spans="1:9">
      <c r="A57" s="565" t="s">
        <v>174</v>
      </c>
      <c r="B57" s="566"/>
      <c r="C57" s="567"/>
      <c r="D57" s="557" t="s">
        <v>172</v>
      </c>
      <c r="E57" s="558"/>
      <c r="F57" s="559" t="s">
        <v>162</v>
      </c>
      <c r="G57" s="560"/>
      <c r="H57" s="379">
        <v>98.495599999999996</v>
      </c>
      <c r="I57" s="373">
        <v>98.738200000000006</v>
      </c>
    </row>
    <row r="58" spans="1:9">
      <c r="A58" s="565"/>
      <c r="B58" s="566"/>
      <c r="C58" s="567"/>
      <c r="D58" s="557" t="s">
        <v>175</v>
      </c>
      <c r="E58" s="558"/>
      <c r="F58" s="559" t="s">
        <v>164</v>
      </c>
      <c r="G58" s="560"/>
      <c r="H58" s="379">
        <v>94.85</v>
      </c>
      <c r="I58" s="373">
        <v>95.075200000000009</v>
      </c>
    </row>
    <row r="59" spans="1:9">
      <c r="A59" s="565"/>
      <c r="B59" s="566"/>
      <c r="C59" s="567"/>
      <c r="D59" s="557" t="s">
        <v>175</v>
      </c>
      <c r="E59" s="558"/>
      <c r="F59" s="559" t="s">
        <v>165</v>
      </c>
      <c r="G59" s="560"/>
      <c r="H59" s="379">
        <v>86.924599999999998</v>
      </c>
      <c r="I59" s="373">
        <v>87.1387</v>
      </c>
    </row>
    <row r="60" spans="1:9" ht="15.75" thickBot="1">
      <c r="A60" s="581"/>
      <c r="B60" s="582"/>
      <c r="C60" s="599"/>
      <c r="D60" s="568" t="s">
        <v>175</v>
      </c>
      <c r="E60" s="569"/>
      <c r="F60" s="570" t="s">
        <v>166</v>
      </c>
      <c r="G60" s="571"/>
      <c r="H60" s="380">
        <v>80.357549999999989</v>
      </c>
      <c r="I60" s="374">
        <v>80.555475000000001</v>
      </c>
    </row>
    <row r="61" spans="1:9">
      <c r="A61" s="600"/>
      <c r="B61" s="601"/>
      <c r="C61" s="604"/>
      <c r="D61" s="602"/>
      <c r="E61" s="603"/>
      <c r="F61" s="576" t="s">
        <v>156</v>
      </c>
      <c r="G61" s="577"/>
      <c r="H61" s="377">
        <v>154.79764999999998</v>
      </c>
      <c r="I61" s="378">
        <v>155.17892499999999</v>
      </c>
    </row>
    <row r="62" spans="1:9">
      <c r="A62" s="565"/>
      <c r="B62" s="566"/>
      <c r="C62" s="567"/>
      <c r="D62" s="589" t="s">
        <v>176</v>
      </c>
      <c r="E62" s="558"/>
      <c r="F62" s="559" t="s">
        <v>158</v>
      </c>
      <c r="G62" s="560"/>
      <c r="H62" s="379">
        <v>125.4134</v>
      </c>
      <c r="I62" s="373">
        <v>125.7223</v>
      </c>
    </row>
    <row r="63" spans="1:9" ht="15.75" thickBot="1">
      <c r="A63" s="565"/>
      <c r="B63" s="566"/>
      <c r="C63" s="567"/>
      <c r="D63" s="557" t="s">
        <v>177</v>
      </c>
      <c r="E63" s="558"/>
      <c r="F63" s="570" t="s">
        <v>159</v>
      </c>
      <c r="G63" s="571"/>
      <c r="H63" s="380">
        <v>112.01539999999999</v>
      </c>
      <c r="I63" s="374">
        <v>112.3</v>
      </c>
    </row>
    <row r="64" spans="1:9">
      <c r="A64" s="565"/>
      <c r="B64" s="566"/>
      <c r="C64" s="567"/>
      <c r="D64" s="557" t="s">
        <v>178</v>
      </c>
      <c r="E64" s="558"/>
      <c r="F64" s="576" t="s">
        <v>160</v>
      </c>
      <c r="G64" s="577"/>
      <c r="H64" s="377">
        <v>164.33864999999997</v>
      </c>
      <c r="I64" s="378">
        <v>164.743425</v>
      </c>
    </row>
    <row r="65" spans="1:9">
      <c r="A65" s="565" t="s">
        <v>179</v>
      </c>
      <c r="B65" s="566"/>
      <c r="C65" s="567"/>
      <c r="D65" s="557" t="s">
        <v>180</v>
      </c>
      <c r="E65" s="558"/>
      <c r="F65" s="559" t="s">
        <v>162</v>
      </c>
      <c r="G65" s="560"/>
      <c r="H65" s="379">
        <v>133.1</v>
      </c>
      <c r="I65" s="373">
        <v>133.43</v>
      </c>
    </row>
    <row r="66" spans="1:9">
      <c r="A66" s="565"/>
      <c r="B66" s="566"/>
      <c r="C66" s="567"/>
      <c r="D66" s="557" t="s">
        <v>181</v>
      </c>
      <c r="E66" s="558"/>
      <c r="F66" s="559" t="s">
        <v>164</v>
      </c>
      <c r="G66" s="560"/>
      <c r="H66" s="379">
        <v>123.61685</v>
      </c>
      <c r="I66" s="373">
        <v>123.92132500000001</v>
      </c>
    </row>
    <row r="67" spans="1:9">
      <c r="A67" s="565"/>
      <c r="B67" s="566"/>
      <c r="C67" s="567"/>
      <c r="D67" s="557" t="s">
        <v>182</v>
      </c>
      <c r="E67" s="558"/>
      <c r="F67" s="559" t="s">
        <v>165</v>
      </c>
      <c r="G67" s="560"/>
      <c r="H67" s="379">
        <v>114.10629999999999</v>
      </c>
      <c r="I67" s="373">
        <v>114.38735000000001</v>
      </c>
    </row>
    <row r="68" spans="1:9" ht="15.75" thickBot="1">
      <c r="A68" s="581"/>
      <c r="B68" s="582"/>
      <c r="C68" s="599"/>
      <c r="D68" s="568"/>
      <c r="E68" s="569"/>
      <c r="F68" s="570" t="s">
        <v>166</v>
      </c>
      <c r="G68" s="571"/>
      <c r="H68" s="380">
        <v>104.59574999999998</v>
      </c>
      <c r="I68" s="374">
        <v>104.86</v>
      </c>
    </row>
    <row r="69" spans="1:9">
      <c r="A69" s="381"/>
      <c r="B69" s="381"/>
      <c r="C69" s="381"/>
      <c r="D69" s="382"/>
      <c r="E69" s="382"/>
      <c r="F69" s="383"/>
      <c r="G69" s="383"/>
      <c r="H69" s="383"/>
      <c r="I69" s="383"/>
    </row>
    <row r="70" spans="1:9">
      <c r="A70" s="381"/>
      <c r="B70" s="381"/>
      <c r="C70" s="381"/>
      <c r="D70" s="382"/>
      <c r="E70" s="382"/>
      <c r="F70" s="383"/>
      <c r="G70" s="383"/>
      <c r="H70" s="383"/>
      <c r="I70" s="383"/>
    </row>
    <row r="71" spans="1:9" ht="18.75">
      <c r="A71" s="65" t="s">
        <v>315</v>
      </c>
      <c r="B71" s="384"/>
      <c r="C71" s="384"/>
      <c r="D71" s="384"/>
      <c r="E71" s="384"/>
      <c r="F71" s="384"/>
      <c r="G71" s="384"/>
      <c r="H71" s="384"/>
      <c r="I71" s="384"/>
    </row>
    <row r="72" spans="1:9" ht="19.5" thickBot="1">
      <c r="A72" s="384"/>
      <c r="B72" s="384"/>
      <c r="C72" s="384"/>
      <c r="D72" s="384"/>
      <c r="E72" s="384"/>
      <c r="F72" s="384"/>
      <c r="G72" s="384"/>
      <c r="H72" s="384"/>
      <c r="I72" s="384"/>
    </row>
    <row r="73" spans="1:9" ht="15.75" thickBot="1">
      <c r="A73" s="279"/>
      <c r="B73" s="279"/>
      <c r="C73" s="279"/>
      <c r="D73" s="376"/>
      <c r="E73" s="376"/>
      <c r="F73" s="279"/>
      <c r="G73" s="279"/>
      <c r="H73" s="375" t="s">
        <v>289</v>
      </c>
      <c r="I73" s="345" t="s">
        <v>288</v>
      </c>
    </row>
    <row r="74" spans="1:9" ht="15" customHeight="1">
      <c r="A74" s="460" t="s">
        <v>153</v>
      </c>
      <c r="B74" s="461"/>
      <c r="C74" s="466"/>
      <c r="D74" s="615" t="s">
        <v>154</v>
      </c>
      <c r="E74" s="616"/>
      <c r="F74" s="486" t="s">
        <v>68</v>
      </c>
      <c r="G74" s="468"/>
      <c r="H74" s="563" t="s">
        <v>155</v>
      </c>
      <c r="I74" s="471" t="s">
        <v>155</v>
      </c>
    </row>
    <row r="75" spans="1:9">
      <c r="A75" s="463"/>
      <c r="B75" s="464"/>
      <c r="C75" s="467"/>
      <c r="D75" s="617"/>
      <c r="E75" s="618"/>
      <c r="F75" s="469"/>
      <c r="G75" s="470"/>
      <c r="H75" s="564"/>
      <c r="I75" s="472"/>
    </row>
    <row r="76" spans="1:9">
      <c r="A76" s="463"/>
      <c r="B76" s="464"/>
      <c r="C76" s="467"/>
      <c r="D76" s="619"/>
      <c r="E76" s="620"/>
      <c r="F76" s="469"/>
      <c r="G76" s="470"/>
      <c r="H76" s="564"/>
      <c r="I76" s="472"/>
    </row>
    <row r="77" spans="1:9">
      <c r="A77" s="606" t="s">
        <v>161</v>
      </c>
      <c r="B77" s="607"/>
      <c r="C77" s="608"/>
      <c r="D77" s="621"/>
      <c r="E77" s="622"/>
      <c r="F77" s="572" t="s">
        <v>156</v>
      </c>
      <c r="G77" s="573"/>
      <c r="H77" s="379">
        <v>76.906549999999982</v>
      </c>
      <c r="I77" s="373">
        <v>77.095974999999996</v>
      </c>
    </row>
    <row r="78" spans="1:9">
      <c r="A78" s="609"/>
      <c r="B78" s="610"/>
      <c r="C78" s="611"/>
      <c r="D78" s="557" t="s">
        <v>167</v>
      </c>
      <c r="E78" s="558"/>
      <c r="F78" s="572" t="s">
        <v>158</v>
      </c>
      <c r="G78" s="573"/>
      <c r="H78" s="379">
        <v>62.290549999999989</v>
      </c>
      <c r="I78" s="373">
        <v>62.443975000000002</v>
      </c>
    </row>
    <row r="79" spans="1:9">
      <c r="A79" s="609"/>
      <c r="B79" s="610"/>
      <c r="C79" s="611"/>
      <c r="D79" s="557"/>
      <c r="E79" s="558"/>
      <c r="F79" s="572" t="s">
        <v>159</v>
      </c>
      <c r="G79" s="573"/>
      <c r="H79" s="379">
        <v>52.708949999999994</v>
      </c>
      <c r="I79" s="373">
        <v>52.838775000000005</v>
      </c>
    </row>
    <row r="80" spans="1:9">
      <c r="A80" s="609"/>
      <c r="B80" s="610"/>
      <c r="C80" s="611"/>
      <c r="D80" s="557" t="s">
        <v>168</v>
      </c>
      <c r="E80" s="558"/>
      <c r="F80" s="572" t="s">
        <v>160</v>
      </c>
      <c r="G80" s="573"/>
      <c r="H80" s="379">
        <v>81.047749999999994</v>
      </c>
      <c r="I80" s="373">
        <v>81.247375000000005</v>
      </c>
    </row>
    <row r="81" spans="1:9">
      <c r="A81" s="609"/>
      <c r="B81" s="610"/>
      <c r="C81" s="611"/>
      <c r="D81" s="557" t="s">
        <v>169</v>
      </c>
      <c r="E81" s="558"/>
      <c r="F81" s="572" t="s">
        <v>162</v>
      </c>
      <c r="G81" s="573"/>
      <c r="H81" s="379">
        <v>65.69</v>
      </c>
      <c r="I81" s="373">
        <v>65.849999999999994</v>
      </c>
    </row>
    <row r="82" spans="1:9">
      <c r="A82" s="609"/>
      <c r="B82" s="610"/>
      <c r="C82" s="611"/>
      <c r="D82" s="557" t="s">
        <v>170</v>
      </c>
      <c r="E82" s="558"/>
      <c r="F82" s="572" t="s">
        <v>164</v>
      </c>
      <c r="G82" s="573"/>
      <c r="H82" s="379">
        <v>63.23449999999999</v>
      </c>
      <c r="I82" s="373">
        <v>63.390250000000002</v>
      </c>
    </row>
    <row r="83" spans="1:9">
      <c r="A83" s="609"/>
      <c r="B83" s="610"/>
      <c r="C83" s="611"/>
      <c r="D83" s="557" t="s">
        <v>170</v>
      </c>
      <c r="E83" s="558"/>
      <c r="F83" s="572" t="s">
        <v>165</v>
      </c>
      <c r="G83" s="573"/>
      <c r="H83" s="379">
        <v>57.96</v>
      </c>
      <c r="I83" s="373">
        <v>58.1</v>
      </c>
    </row>
    <row r="84" spans="1:9" ht="15.75" thickBot="1">
      <c r="A84" s="612"/>
      <c r="B84" s="613"/>
      <c r="C84" s="614"/>
      <c r="D84" s="568" t="s">
        <v>170</v>
      </c>
      <c r="E84" s="569"/>
      <c r="F84" s="585" t="s">
        <v>166</v>
      </c>
      <c r="G84" s="605"/>
      <c r="H84" s="380">
        <v>53.571699999999993</v>
      </c>
      <c r="I84" s="374">
        <v>53.703650000000003</v>
      </c>
    </row>
    <row r="85" spans="1:9">
      <c r="A85" s="565"/>
      <c r="B85" s="566"/>
      <c r="C85" s="567"/>
      <c r="D85" s="557"/>
      <c r="E85" s="558"/>
      <c r="F85" s="574" t="s">
        <v>156</v>
      </c>
      <c r="G85" s="575"/>
      <c r="H85" s="386">
        <v>76.906549999999982</v>
      </c>
      <c r="I85" s="387">
        <v>77.095974999999996</v>
      </c>
    </row>
    <row r="86" spans="1:9">
      <c r="A86" s="565"/>
      <c r="B86" s="566"/>
      <c r="C86" s="567"/>
      <c r="D86" s="557" t="s">
        <v>167</v>
      </c>
      <c r="E86" s="558"/>
      <c r="F86" s="559" t="s">
        <v>158</v>
      </c>
      <c r="G86" s="560"/>
      <c r="H86" s="371">
        <v>62.290549999999989</v>
      </c>
      <c r="I86" s="373">
        <v>62.443975000000002</v>
      </c>
    </row>
    <row r="87" spans="1:9" ht="15.75" thickBot="1">
      <c r="A87" s="565"/>
      <c r="B87" s="566"/>
      <c r="C87" s="567"/>
      <c r="D87" s="568"/>
      <c r="E87" s="569"/>
      <c r="F87" s="570" t="s">
        <v>159</v>
      </c>
      <c r="G87" s="571"/>
      <c r="H87" s="385">
        <v>52.708949999999994</v>
      </c>
      <c r="I87" s="388">
        <v>52.838775000000005</v>
      </c>
    </row>
    <row r="88" spans="1:9">
      <c r="A88" s="565"/>
      <c r="B88" s="566"/>
      <c r="C88" s="567"/>
      <c r="D88" s="557" t="s">
        <v>168</v>
      </c>
      <c r="E88" s="558"/>
      <c r="F88" s="576" t="s">
        <v>160</v>
      </c>
      <c r="G88" s="576"/>
      <c r="H88" s="377">
        <v>81.047749999999994</v>
      </c>
      <c r="I88" s="378">
        <v>81.247375000000005</v>
      </c>
    </row>
    <row r="89" spans="1:9">
      <c r="A89" s="565" t="s">
        <v>331</v>
      </c>
      <c r="B89" s="566"/>
      <c r="C89" s="567"/>
      <c r="D89" s="557" t="s">
        <v>169</v>
      </c>
      <c r="E89" s="558"/>
      <c r="F89" s="559" t="s">
        <v>162</v>
      </c>
      <c r="G89" s="559"/>
      <c r="H89" s="379">
        <v>65.69</v>
      </c>
      <c r="I89" s="373">
        <v>65.849999999999994</v>
      </c>
    </row>
    <row r="90" spans="1:9">
      <c r="A90" s="565"/>
      <c r="B90" s="566"/>
      <c r="C90" s="567"/>
      <c r="D90" s="557" t="s">
        <v>170</v>
      </c>
      <c r="E90" s="558"/>
      <c r="F90" s="559" t="s">
        <v>164</v>
      </c>
      <c r="G90" s="559"/>
      <c r="H90" s="379">
        <v>63.23449999999999</v>
      </c>
      <c r="I90" s="373">
        <v>63.390250000000002</v>
      </c>
    </row>
    <row r="91" spans="1:9">
      <c r="A91" s="565"/>
      <c r="B91" s="566"/>
      <c r="C91" s="567"/>
      <c r="D91" s="557" t="s">
        <v>170</v>
      </c>
      <c r="E91" s="558"/>
      <c r="F91" s="559" t="s">
        <v>165</v>
      </c>
      <c r="G91" s="559"/>
      <c r="H91" s="379">
        <v>57.96</v>
      </c>
      <c r="I91" s="373">
        <v>58.1</v>
      </c>
    </row>
    <row r="92" spans="1:9" ht="15.75" thickBot="1">
      <c r="A92" s="581"/>
      <c r="B92" s="582"/>
      <c r="C92" s="599"/>
      <c r="D92" s="568" t="s">
        <v>170</v>
      </c>
      <c r="E92" s="569"/>
      <c r="F92" s="570" t="s">
        <v>166</v>
      </c>
      <c r="G92" s="570"/>
      <c r="H92" s="380">
        <v>53.571699999999993</v>
      </c>
      <c r="I92" s="374">
        <v>53.703650000000003</v>
      </c>
    </row>
    <row r="93" spans="1:9">
      <c r="A93" s="600"/>
      <c r="B93" s="601"/>
      <c r="C93" s="604"/>
      <c r="D93" s="602" t="s">
        <v>171</v>
      </c>
      <c r="E93" s="603"/>
      <c r="F93" s="576" t="s">
        <v>156</v>
      </c>
      <c r="G93" s="577"/>
      <c r="H93" s="386">
        <v>116.12614999999998</v>
      </c>
      <c r="I93" s="387">
        <v>116.42</v>
      </c>
    </row>
    <row r="94" spans="1:9">
      <c r="A94" s="565"/>
      <c r="B94" s="566"/>
      <c r="C94" s="567"/>
      <c r="D94" s="557" t="s">
        <v>172</v>
      </c>
      <c r="E94" s="558"/>
      <c r="F94" s="559" t="s">
        <v>158</v>
      </c>
      <c r="G94" s="560"/>
      <c r="H94" s="371">
        <v>94.100649999999987</v>
      </c>
      <c r="I94" s="373">
        <v>94.332425000000001</v>
      </c>
    </row>
    <row r="95" spans="1:9" ht="15.75" thickBot="1">
      <c r="A95" s="565"/>
      <c r="B95" s="566"/>
      <c r="C95" s="567"/>
      <c r="D95" s="568" t="s">
        <v>173</v>
      </c>
      <c r="E95" s="569"/>
      <c r="F95" s="570" t="s">
        <v>159</v>
      </c>
      <c r="G95" s="571"/>
      <c r="H95" s="385">
        <v>84.031849999999991</v>
      </c>
      <c r="I95" s="388">
        <v>84.238825000000006</v>
      </c>
    </row>
    <row r="96" spans="1:9">
      <c r="A96" s="565"/>
      <c r="B96" s="566"/>
      <c r="C96" s="567"/>
      <c r="D96" s="557" t="s">
        <v>171</v>
      </c>
      <c r="E96" s="558"/>
      <c r="F96" s="576" t="s">
        <v>160</v>
      </c>
      <c r="G96" s="576"/>
      <c r="H96" s="377">
        <v>121.61729999999999</v>
      </c>
      <c r="I96" s="378">
        <v>121.91685</v>
      </c>
    </row>
    <row r="97" spans="1:9">
      <c r="A97" s="565" t="s">
        <v>174</v>
      </c>
      <c r="B97" s="566"/>
      <c r="C97" s="567"/>
      <c r="D97" s="557" t="s">
        <v>172</v>
      </c>
      <c r="E97" s="558"/>
      <c r="F97" s="559" t="s">
        <v>162</v>
      </c>
      <c r="G97" s="559"/>
      <c r="H97" s="379">
        <v>98.495599999999996</v>
      </c>
      <c r="I97" s="373">
        <v>98.738200000000006</v>
      </c>
    </row>
    <row r="98" spans="1:9">
      <c r="A98" s="565"/>
      <c r="B98" s="566"/>
      <c r="C98" s="567"/>
      <c r="D98" s="557" t="s">
        <v>175</v>
      </c>
      <c r="E98" s="558"/>
      <c r="F98" s="559" t="s">
        <v>164</v>
      </c>
      <c r="G98" s="559"/>
      <c r="H98" s="379">
        <v>94.85</v>
      </c>
      <c r="I98" s="373">
        <v>95.075200000000009</v>
      </c>
    </row>
    <row r="99" spans="1:9">
      <c r="A99" s="565"/>
      <c r="B99" s="566"/>
      <c r="C99" s="567"/>
      <c r="D99" s="557" t="s">
        <v>175</v>
      </c>
      <c r="E99" s="558"/>
      <c r="F99" s="559" t="s">
        <v>165</v>
      </c>
      <c r="G99" s="559"/>
      <c r="H99" s="379">
        <v>86.924599999999998</v>
      </c>
      <c r="I99" s="373">
        <v>87.1387</v>
      </c>
    </row>
    <row r="100" spans="1:9" ht="15.75" thickBot="1">
      <c r="A100" s="581"/>
      <c r="B100" s="582"/>
      <c r="C100" s="599"/>
      <c r="D100" s="568" t="s">
        <v>175</v>
      </c>
      <c r="E100" s="569"/>
      <c r="F100" s="570" t="s">
        <v>166</v>
      </c>
      <c r="G100" s="570"/>
      <c r="H100" s="380">
        <v>80.357549999999989</v>
      </c>
      <c r="I100" s="374">
        <v>80.555475000000001</v>
      </c>
    </row>
    <row r="101" spans="1:9">
      <c r="A101" s="600"/>
      <c r="B101" s="601"/>
      <c r="C101" s="601"/>
      <c r="D101" s="602"/>
      <c r="E101" s="603"/>
      <c r="F101" s="576" t="s">
        <v>156</v>
      </c>
      <c r="G101" s="577"/>
      <c r="H101" s="386">
        <v>154.79764999999998</v>
      </c>
      <c r="I101" s="387">
        <v>155.17892499999999</v>
      </c>
    </row>
    <row r="102" spans="1:9">
      <c r="A102" s="565"/>
      <c r="B102" s="566"/>
      <c r="C102" s="566"/>
      <c r="D102" s="589" t="s">
        <v>176</v>
      </c>
      <c r="E102" s="558"/>
      <c r="F102" s="559" t="s">
        <v>158</v>
      </c>
      <c r="G102" s="560"/>
      <c r="H102" s="371">
        <v>125.4134</v>
      </c>
      <c r="I102" s="373">
        <v>125.7223</v>
      </c>
    </row>
    <row r="103" spans="1:9" ht="15.75" thickBot="1">
      <c r="A103" s="565"/>
      <c r="B103" s="566"/>
      <c r="C103" s="566"/>
      <c r="D103" s="557" t="s">
        <v>177</v>
      </c>
      <c r="E103" s="558"/>
      <c r="F103" s="597" t="s">
        <v>159</v>
      </c>
      <c r="G103" s="598"/>
      <c r="H103" s="372">
        <v>112.01539999999999</v>
      </c>
      <c r="I103" s="374">
        <v>112.3</v>
      </c>
    </row>
    <row r="104" spans="1:9">
      <c r="A104" s="565"/>
      <c r="B104" s="566"/>
      <c r="C104" s="566"/>
      <c r="D104" s="557" t="s">
        <v>178</v>
      </c>
      <c r="E104" s="583"/>
      <c r="F104" s="587" t="s">
        <v>160</v>
      </c>
      <c r="G104" s="588"/>
      <c r="H104" s="377">
        <v>164.33864999999997</v>
      </c>
      <c r="I104" s="378">
        <v>164.743425</v>
      </c>
    </row>
    <row r="105" spans="1:9">
      <c r="A105" s="565" t="s">
        <v>179</v>
      </c>
      <c r="B105" s="566"/>
      <c r="C105" s="566"/>
      <c r="D105" s="557" t="s">
        <v>180</v>
      </c>
      <c r="E105" s="583"/>
      <c r="F105" s="572" t="s">
        <v>162</v>
      </c>
      <c r="G105" s="584"/>
      <c r="H105" s="379">
        <v>133.1</v>
      </c>
      <c r="I105" s="373">
        <v>133.43</v>
      </c>
    </row>
    <row r="106" spans="1:9">
      <c r="A106" s="565"/>
      <c r="B106" s="566"/>
      <c r="C106" s="566"/>
      <c r="D106" s="557" t="s">
        <v>181</v>
      </c>
      <c r="E106" s="583"/>
      <c r="F106" s="572" t="s">
        <v>164</v>
      </c>
      <c r="G106" s="584"/>
      <c r="H106" s="379">
        <v>123.61685</v>
      </c>
      <c r="I106" s="373">
        <v>123.92132500000001</v>
      </c>
    </row>
    <row r="107" spans="1:9">
      <c r="A107" s="565"/>
      <c r="B107" s="566"/>
      <c r="C107" s="566"/>
      <c r="D107" s="557" t="s">
        <v>182</v>
      </c>
      <c r="E107" s="583"/>
      <c r="F107" s="572" t="s">
        <v>165</v>
      </c>
      <c r="G107" s="584"/>
      <c r="H107" s="379">
        <v>114.10629999999999</v>
      </c>
      <c r="I107" s="373">
        <v>114.38735000000001</v>
      </c>
    </row>
    <row r="108" spans="1:9" ht="15.75" thickBot="1">
      <c r="A108" s="581"/>
      <c r="B108" s="582"/>
      <c r="C108" s="582"/>
      <c r="D108" s="568"/>
      <c r="E108" s="578"/>
      <c r="F108" s="585" t="s">
        <v>166</v>
      </c>
      <c r="G108" s="586"/>
      <c r="H108" s="380">
        <v>104.59574999999998</v>
      </c>
      <c r="I108" s="374">
        <v>104.86</v>
      </c>
    </row>
    <row r="109" spans="1:9">
      <c r="D109" s="61"/>
      <c r="E109" s="61"/>
      <c r="F109" s="31"/>
      <c r="G109" s="31"/>
      <c r="H109" s="31"/>
      <c r="I109" s="31"/>
    </row>
    <row r="110" spans="1:9">
      <c r="D110" s="44"/>
      <c r="E110" s="44"/>
    </row>
    <row r="111" spans="1:9" ht="18.75">
      <c r="A111" s="65" t="s">
        <v>314</v>
      </c>
      <c r="B111" s="384"/>
      <c r="C111" s="384"/>
      <c r="D111" s="384"/>
      <c r="E111" s="384"/>
      <c r="F111" s="384"/>
      <c r="G111" s="384"/>
      <c r="H111" s="384"/>
      <c r="I111" s="384"/>
    </row>
    <row r="112" spans="1:9" ht="15.75" thickBot="1">
      <c r="D112" s="44"/>
      <c r="E112" s="44"/>
    </row>
    <row r="113" spans="1:9" ht="15.75" thickBot="1">
      <c r="D113" s="44"/>
      <c r="E113" s="44"/>
      <c r="H113" s="370" t="s">
        <v>289</v>
      </c>
      <c r="I113" s="307" t="s">
        <v>288</v>
      </c>
    </row>
    <row r="114" spans="1:9" ht="15" customHeight="1">
      <c r="A114" s="460" t="s">
        <v>183</v>
      </c>
      <c r="B114" s="461"/>
      <c r="C114" s="461"/>
      <c r="D114" s="461"/>
      <c r="E114" s="461"/>
      <c r="F114" s="475" t="s">
        <v>184</v>
      </c>
      <c r="G114" s="468"/>
      <c r="H114" s="590" t="s">
        <v>155</v>
      </c>
      <c r="I114" s="590" t="s">
        <v>155</v>
      </c>
    </row>
    <row r="115" spans="1:9">
      <c r="A115" s="463"/>
      <c r="B115" s="464"/>
      <c r="C115" s="464"/>
      <c r="D115" s="464"/>
      <c r="E115" s="464"/>
      <c r="F115" s="476"/>
      <c r="G115" s="470"/>
      <c r="H115" s="472"/>
      <c r="I115" s="472"/>
    </row>
    <row r="116" spans="1:9">
      <c r="A116" s="463"/>
      <c r="B116" s="464"/>
      <c r="C116" s="464"/>
      <c r="D116" s="464"/>
      <c r="E116" s="464"/>
      <c r="F116" s="476"/>
      <c r="G116" s="470"/>
      <c r="H116" s="472"/>
      <c r="I116" s="472"/>
    </row>
    <row r="117" spans="1:9">
      <c r="A117" s="579" t="s">
        <v>185</v>
      </c>
      <c r="B117" s="580"/>
      <c r="C117" s="580"/>
      <c r="D117" s="580"/>
      <c r="E117" s="580"/>
      <c r="F117" s="595">
        <v>30</v>
      </c>
      <c r="G117" s="596"/>
      <c r="H117" s="373">
        <v>87.24939999999998</v>
      </c>
      <c r="I117" s="373">
        <v>87.464299999999994</v>
      </c>
    </row>
    <row r="118" spans="1:9">
      <c r="A118" s="579" t="s">
        <v>186</v>
      </c>
      <c r="B118" s="580"/>
      <c r="C118" s="580"/>
      <c r="D118" s="580"/>
      <c r="E118" s="580"/>
      <c r="F118" s="595" t="s">
        <v>187</v>
      </c>
      <c r="G118" s="596"/>
      <c r="H118" s="373">
        <v>130.8741</v>
      </c>
      <c r="I118" s="373">
        <v>131.19</v>
      </c>
    </row>
    <row r="119" spans="1:9">
      <c r="A119" s="579" t="s">
        <v>188</v>
      </c>
      <c r="B119" s="580"/>
      <c r="C119" s="580"/>
      <c r="D119" s="580"/>
      <c r="E119" s="580"/>
      <c r="F119" s="595" t="s">
        <v>189</v>
      </c>
      <c r="G119" s="596"/>
      <c r="H119" s="373">
        <v>174.49879999999996</v>
      </c>
      <c r="I119" s="373">
        <v>174.92859999999999</v>
      </c>
    </row>
    <row r="120" spans="1:9" ht="15.75" thickBot="1">
      <c r="A120" s="591" t="s">
        <v>190</v>
      </c>
      <c r="B120" s="592"/>
      <c r="C120" s="592"/>
      <c r="D120" s="592"/>
      <c r="E120" s="592"/>
      <c r="F120" s="593" t="s">
        <v>191</v>
      </c>
      <c r="G120" s="594"/>
      <c r="H120" s="374">
        <v>218.12349999999998</v>
      </c>
      <c r="I120" s="374">
        <v>218.66075000000001</v>
      </c>
    </row>
  </sheetData>
  <mergeCells count="235">
    <mergeCell ref="D22:F22"/>
    <mergeCell ref="D23:F23"/>
    <mergeCell ref="D24:F24"/>
    <mergeCell ref="D25:F25"/>
    <mergeCell ref="D21:F21"/>
    <mergeCell ref="D18:F20"/>
    <mergeCell ref="G18:G20"/>
    <mergeCell ref="A2:I2"/>
    <mergeCell ref="A10:C10"/>
    <mergeCell ref="D10:E10"/>
    <mergeCell ref="F7:F9"/>
    <mergeCell ref="G7:G9"/>
    <mergeCell ref="H7:H9"/>
    <mergeCell ref="I7:I9"/>
    <mergeCell ref="F6:G6"/>
    <mergeCell ref="A11:C11"/>
    <mergeCell ref="D11:E11"/>
    <mergeCell ref="A6:E6"/>
    <mergeCell ref="H6:I6"/>
    <mergeCell ref="A49:C49"/>
    <mergeCell ref="A28:I28"/>
    <mergeCell ref="D38:E38"/>
    <mergeCell ref="F38:G38"/>
    <mergeCell ref="D39:E39"/>
    <mergeCell ref="A7:C9"/>
    <mergeCell ref="D7:E9"/>
    <mergeCell ref="I14:J14"/>
    <mergeCell ref="A12:C12"/>
    <mergeCell ref="D12:E12"/>
    <mergeCell ref="A13:C13"/>
    <mergeCell ref="D13:E13"/>
    <mergeCell ref="F13:G13"/>
    <mergeCell ref="I13:J13"/>
    <mergeCell ref="D37:E37"/>
    <mergeCell ref="F37:G37"/>
    <mergeCell ref="H34:H36"/>
    <mergeCell ref="A14:C14"/>
    <mergeCell ref="D14:E14"/>
    <mergeCell ref="F39:G39"/>
    <mergeCell ref="A34:C36"/>
    <mergeCell ref="D34:E36"/>
    <mergeCell ref="F14:G14"/>
    <mergeCell ref="H18:H20"/>
    <mergeCell ref="D84:E84"/>
    <mergeCell ref="D82:E82"/>
    <mergeCell ref="F82:G82"/>
    <mergeCell ref="A57:C57"/>
    <mergeCell ref="A51:C51"/>
    <mergeCell ref="D51:E51"/>
    <mergeCell ref="F51:G51"/>
    <mergeCell ref="A45:C45"/>
    <mergeCell ref="D45:E45"/>
    <mergeCell ref="F45:G45"/>
    <mergeCell ref="A46:C46"/>
    <mergeCell ref="D46:E46"/>
    <mergeCell ref="D49:E49"/>
    <mergeCell ref="F49:G49"/>
    <mergeCell ref="A50:C50"/>
    <mergeCell ref="D50:E50"/>
    <mergeCell ref="D56:E56"/>
    <mergeCell ref="F56:G56"/>
    <mergeCell ref="F46:G46"/>
    <mergeCell ref="A47:C47"/>
    <mergeCell ref="D47:E47"/>
    <mergeCell ref="F53:G53"/>
    <mergeCell ref="F54:G54"/>
    <mergeCell ref="A55:C55"/>
    <mergeCell ref="D81:E81"/>
    <mergeCell ref="F34:G36"/>
    <mergeCell ref="D43:E43"/>
    <mergeCell ref="F43:G43"/>
    <mergeCell ref="D40:E40"/>
    <mergeCell ref="A37:C44"/>
    <mergeCell ref="F40:G40"/>
    <mergeCell ref="D41:E41"/>
    <mergeCell ref="F41:G41"/>
    <mergeCell ref="D44:E44"/>
    <mergeCell ref="F44:G44"/>
    <mergeCell ref="D42:E42"/>
    <mergeCell ref="F42:G42"/>
    <mergeCell ref="D55:E55"/>
    <mergeCell ref="F55:G55"/>
    <mergeCell ref="A54:C54"/>
    <mergeCell ref="F52:G52"/>
    <mergeCell ref="A53:C53"/>
    <mergeCell ref="D53:E53"/>
    <mergeCell ref="F50:G50"/>
    <mergeCell ref="F47:G47"/>
    <mergeCell ref="A48:C48"/>
    <mergeCell ref="D48:E48"/>
    <mergeCell ref="F48:G48"/>
    <mergeCell ref="D58:E58"/>
    <mergeCell ref="A52:C52"/>
    <mergeCell ref="D52:E52"/>
    <mergeCell ref="A67:C67"/>
    <mergeCell ref="D67:E67"/>
    <mergeCell ref="F67:G67"/>
    <mergeCell ref="A59:C59"/>
    <mergeCell ref="D79:E79"/>
    <mergeCell ref="F79:G79"/>
    <mergeCell ref="D60:E60"/>
    <mergeCell ref="F60:G60"/>
    <mergeCell ref="A61:C61"/>
    <mergeCell ref="D59:E59"/>
    <mergeCell ref="F59:G59"/>
    <mergeCell ref="A65:C65"/>
    <mergeCell ref="A77:C84"/>
    <mergeCell ref="A68:C68"/>
    <mergeCell ref="D68:E68"/>
    <mergeCell ref="F68:G68"/>
    <mergeCell ref="A74:C76"/>
    <mergeCell ref="D74:E76"/>
    <mergeCell ref="F74:G76"/>
    <mergeCell ref="D77:E77"/>
    <mergeCell ref="F80:G80"/>
    <mergeCell ref="A91:C91"/>
    <mergeCell ref="F81:G81"/>
    <mergeCell ref="F84:G84"/>
    <mergeCell ref="D54:E54"/>
    <mergeCell ref="A60:C60"/>
    <mergeCell ref="D65:E65"/>
    <mergeCell ref="F65:G65"/>
    <mergeCell ref="A66:C66"/>
    <mergeCell ref="D66:E66"/>
    <mergeCell ref="F66:G66"/>
    <mergeCell ref="D61:E61"/>
    <mergeCell ref="F61:G61"/>
    <mergeCell ref="A62:C62"/>
    <mergeCell ref="D62:E62"/>
    <mergeCell ref="F62:G62"/>
    <mergeCell ref="A63:C63"/>
    <mergeCell ref="D63:E63"/>
    <mergeCell ref="F63:G63"/>
    <mergeCell ref="A64:C64"/>
    <mergeCell ref="D64:E64"/>
    <mergeCell ref="F64:G64"/>
    <mergeCell ref="D57:E57"/>
    <mergeCell ref="F57:G57"/>
    <mergeCell ref="A58:C58"/>
    <mergeCell ref="D101:E101"/>
    <mergeCell ref="F58:G58"/>
    <mergeCell ref="A56:C56"/>
    <mergeCell ref="A88:C88"/>
    <mergeCell ref="D88:E88"/>
    <mergeCell ref="F88:G88"/>
    <mergeCell ref="A97:C97"/>
    <mergeCell ref="D97:E97"/>
    <mergeCell ref="F97:G97"/>
    <mergeCell ref="A93:C93"/>
    <mergeCell ref="D93:E93"/>
    <mergeCell ref="F93:G93"/>
    <mergeCell ref="A94:C94"/>
    <mergeCell ref="D94:E94"/>
    <mergeCell ref="F94:G94"/>
    <mergeCell ref="A96:C96"/>
    <mergeCell ref="D96:E96"/>
    <mergeCell ref="F96:G96"/>
    <mergeCell ref="A95:C95"/>
    <mergeCell ref="D95:E95"/>
    <mergeCell ref="F95:G95"/>
    <mergeCell ref="A92:C92"/>
    <mergeCell ref="D92:E92"/>
    <mergeCell ref="F92:G92"/>
    <mergeCell ref="D102:E102"/>
    <mergeCell ref="D91:E91"/>
    <mergeCell ref="F91:G91"/>
    <mergeCell ref="H114:H116"/>
    <mergeCell ref="I114:I116"/>
    <mergeCell ref="A15:I16"/>
    <mergeCell ref="A4:J5"/>
    <mergeCell ref="A120:E120"/>
    <mergeCell ref="F120:G120"/>
    <mergeCell ref="A118:E118"/>
    <mergeCell ref="F118:G118"/>
    <mergeCell ref="A119:E119"/>
    <mergeCell ref="F119:G119"/>
    <mergeCell ref="A103:C103"/>
    <mergeCell ref="D103:E103"/>
    <mergeCell ref="F103:G103"/>
    <mergeCell ref="A100:C100"/>
    <mergeCell ref="D100:E100"/>
    <mergeCell ref="F100:G100"/>
    <mergeCell ref="A105:C105"/>
    <mergeCell ref="D105:E105"/>
    <mergeCell ref="F117:G117"/>
    <mergeCell ref="F105:G105"/>
    <mergeCell ref="A101:C101"/>
    <mergeCell ref="F90:G90"/>
    <mergeCell ref="F101:G101"/>
    <mergeCell ref="D108:E108"/>
    <mergeCell ref="A114:E116"/>
    <mergeCell ref="F114:G116"/>
    <mergeCell ref="A117:E117"/>
    <mergeCell ref="A98:C98"/>
    <mergeCell ref="A108:C108"/>
    <mergeCell ref="D98:E98"/>
    <mergeCell ref="F98:G98"/>
    <mergeCell ref="A99:C99"/>
    <mergeCell ref="A106:C106"/>
    <mergeCell ref="D106:E106"/>
    <mergeCell ref="F106:G106"/>
    <mergeCell ref="A107:C107"/>
    <mergeCell ref="D107:E107"/>
    <mergeCell ref="F107:G107"/>
    <mergeCell ref="F108:G108"/>
    <mergeCell ref="A102:C102"/>
    <mergeCell ref="A104:C104"/>
    <mergeCell ref="D104:E104"/>
    <mergeCell ref="F104:G104"/>
    <mergeCell ref="D99:E99"/>
    <mergeCell ref="F99:G99"/>
    <mergeCell ref="D80:E80"/>
    <mergeCell ref="F102:G102"/>
    <mergeCell ref="I34:I36"/>
    <mergeCell ref="H74:H76"/>
    <mergeCell ref="I74:I76"/>
    <mergeCell ref="D89:E89"/>
    <mergeCell ref="F89:G89"/>
    <mergeCell ref="A90:C90"/>
    <mergeCell ref="A86:C86"/>
    <mergeCell ref="D86:E86"/>
    <mergeCell ref="F86:G86"/>
    <mergeCell ref="A87:C87"/>
    <mergeCell ref="D87:E87"/>
    <mergeCell ref="F87:G87"/>
    <mergeCell ref="F77:G77"/>
    <mergeCell ref="D78:E78"/>
    <mergeCell ref="F78:G78"/>
    <mergeCell ref="F83:G83"/>
    <mergeCell ref="A85:C85"/>
    <mergeCell ref="D85:E85"/>
    <mergeCell ref="F85:G85"/>
    <mergeCell ref="A89:C89"/>
    <mergeCell ref="D83:E83"/>
    <mergeCell ref="D90:E9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2:P79"/>
  <sheetViews>
    <sheetView showGridLines="0" zoomScale="80" zoomScaleNormal="80" workbookViewId="0">
      <selection activeCell="N80" sqref="N80"/>
    </sheetView>
  </sheetViews>
  <sheetFormatPr defaultColWidth="9.140625" defaultRowHeight="15"/>
  <cols>
    <col min="1" max="1" width="9.140625" style="22"/>
    <col min="2" max="2" width="6.42578125" style="22" customWidth="1"/>
    <col min="3" max="3" width="57.28515625" style="22" customWidth="1"/>
    <col min="4" max="4" width="16" style="22" customWidth="1"/>
    <col min="5" max="5" width="16.42578125" style="22" customWidth="1"/>
    <col min="6" max="6" width="14.7109375" style="22" customWidth="1"/>
    <col min="7" max="7" width="16.42578125" style="22" bestFit="1" customWidth="1"/>
    <col min="8" max="8" width="13.28515625" style="22" customWidth="1"/>
    <col min="9" max="9" width="16.42578125" style="22" bestFit="1" customWidth="1"/>
    <col min="10" max="10" width="14.85546875" style="22" customWidth="1"/>
    <col min="11" max="11" width="18.85546875" style="22" customWidth="1"/>
    <col min="12" max="12" width="16.140625" style="22" customWidth="1"/>
    <col min="13" max="13" width="16.7109375" style="22" customWidth="1"/>
    <col min="14" max="14" width="13.7109375" style="22" bestFit="1" customWidth="1"/>
    <col min="15" max="16384" width="9.140625" style="22"/>
  </cols>
  <sheetData>
    <row r="2" spans="1:16" ht="21">
      <c r="A2" s="523" t="s">
        <v>326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</row>
    <row r="3" spans="1:16" s="31" customFormat="1" ht="15" customHeight="1" thickBo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6" ht="15.75" thickBot="1">
      <c r="D4" s="435" t="s">
        <v>289</v>
      </c>
      <c r="E4" s="481"/>
      <c r="F4" s="481"/>
      <c r="G4" s="436"/>
      <c r="H4" s="507" t="s">
        <v>288</v>
      </c>
      <c r="I4" s="660"/>
      <c r="J4" s="660"/>
      <c r="K4" s="508"/>
    </row>
    <row r="5" spans="1:16" ht="15" customHeight="1">
      <c r="A5" s="674" t="s">
        <v>68</v>
      </c>
      <c r="B5" s="675"/>
      <c r="C5" s="676"/>
      <c r="D5" s="683" t="s">
        <v>7</v>
      </c>
      <c r="E5" s="675" t="s">
        <v>306</v>
      </c>
      <c r="F5" s="675" t="s">
        <v>14</v>
      </c>
      <c r="G5" s="685" t="s">
        <v>37</v>
      </c>
      <c r="H5" s="683" t="s">
        <v>7</v>
      </c>
      <c r="I5" s="675" t="s">
        <v>306</v>
      </c>
      <c r="J5" s="675" t="s">
        <v>14</v>
      </c>
      <c r="K5" s="687" t="s">
        <v>37</v>
      </c>
      <c r="L5" s="667" t="s">
        <v>15</v>
      </c>
    </row>
    <row r="6" spans="1:16">
      <c r="A6" s="677"/>
      <c r="B6" s="678"/>
      <c r="C6" s="679"/>
      <c r="D6" s="684"/>
      <c r="E6" s="678"/>
      <c r="F6" s="678"/>
      <c r="G6" s="686"/>
      <c r="H6" s="684"/>
      <c r="I6" s="678"/>
      <c r="J6" s="678"/>
      <c r="K6" s="688"/>
      <c r="L6" s="668"/>
    </row>
    <row r="7" spans="1:16">
      <c r="A7" s="677"/>
      <c r="B7" s="678"/>
      <c r="C7" s="679"/>
      <c r="D7" s="684"/>
      <c r="E7" s="678"/>
      <c r="F7" s="678"/>
      <c r="G7" s="686"/>
      <c r="H7" s="684"/>
      <c r="I7" s="678"/>
      <c r="J7" s="678"/>
      <c r="K7" s="689"/>
      <c r="L7" s="668"/>
    </row>
    <row r="8" spans="1:16">
      <c r="A8" s="671" t="s">
        <v>121</v>
      </c>
      <c r="B8" s="672"/>
      <c r="C8" s="673"/>
      <c r="D8" s="414">
        <v>1711.33</v>
      </c>
      <c r="E8" s="409">
        <v>6.28</v>
      </c>
      <c r="F8" s="410" t="s">
        <v>122</v>
      </c>
      <c r="G8" s="415">
        <f>D8+E8</f>
        <v>1717.61</v>
      </c>
      <c r="H8" s="414">
        <f>1686.03*1.0175</f>
        <v>1715.535525</v>
      </c>
      <c r="I8" s="409">
        <v>6.28</v>
      </c>
      <c r="J8" s="410" t="s">
        <v>122</v>
      </c>
      <c r="K8" s="415">
        <f>SUM(H8:J8)</f>
        <v>1721.815525</v>
      </c>
      <c r="L8" s="420">
        <f>G8*6+K8*6</f>
        <v>20636.55315</v>
      </c>
      <c r="M8" s="31"/>
    </row>
    <row r="9" spans="1:16">
      <c r="A9" s="671" t="s">
        <v>123</v>
      </c>
      <c r="B9" s="672"/>
      <c r="C9" s="673"/>
      <c r="D9" s="414">
        <v>2566.96</v>
      </c>
      <c r="E9" s="409">
        <v>6.28</v>
      </c>
      <c r="F9" s="410" t="s">
        <v>122</v>
      </c>
      <c r="G9" s="415">
        <f t="shared" ref="G9:G11" si="0">D9+E9</f>
        <v>2573.2400000000002</v>
      </c>
      <c r="H9" s="414">
        <f>2529.02*1.0175</f>
        <v>2573.2778499999999</v>
      </c>
      <c r="I9" s="409">
        <v>6.28</v>
      </c>
      <c r="J9" s="410" t="s">
        <v>122</v>
      </c>
      <c r="K9" s="415">
        <f>SUM(H9:J9)</f>
        <v>2579.5578500000001</v>
      </c>
      <c r="L9" s="420">
        <f t="shared" ref="L9:L11" si="1">G9*6+K9*6</f>
        <v>30916.787100000001</v>
      </c>
      <c r="M9" s="31"/>
    </row>
    <row r="10" spans="1:16">
      <c r="A10" s="671" t="s">
        <v>259</v>
      </c>
      <c r="B10" s="672"/>
      <c r="C10" s="673"/>
      <c r="D10" s="414">
        <v>3025.13</v>
      </c>
      <c r="E10" s="409">
        <v>6.28</v>
      </c>
      <c r="F10" s="410" t="s">
        <v>122</v>
      </c>
      <c r="G10" s="415">
        <f t="shared" si="0"/>
        <v>3031.4100000000003</v>
      </c>
      <c r="H10" s="414">
        <f>2980.42*1.0175</f>
        <v>3032.5773500000005</v>
      </c>
      <c r="I10" s="409">
        <v>6.28</v>
      </c>
      <c r="J10" s="410" t="s">
        <v>122</v>
      </c>
      <c r="K10" s="415">
        <f>SUM(H10:J10)</f>
        <v>3038.8573500000007</v>
      </c>
      <c r="L10" s="420">
        <f t="shared" si="1"/>
        <v>36421.604100000011</v>
      </c>
      <c r="M10" s="31"/>
    </row>
    <row r="11" spans="1:16" ht="15.75" thickBot="1">
      <c r="A11" s="680" t="s">
        <v>260</v>
      </c>
      <c r="B11" s="681"/>
      <c r="C11" s="682"/>
      <c r="D11" s="416">
        <v>1241.75</v>
      </c>
      <c r="E11" s="417">
        <v>6.28</v>
      </c>
      <c r="F11" s="418" t="s">
        <v>122</v>
      </c>
      <c r="G11" s="415">
        <f t="shared" si="0"/>
        <v>1248.03</v>
      </c>
      <c r="H11" s="416">
        <f>1223.4*1.0175</f>
        <v>1244.8095000000001</v>
      </c>
      <c r="I11" s="417">
        <v>6.28</v>
      </c>
      <c r="J11" s="418" t="s">
        <v>122</v>
      </c>
      <c r="K11" s="419">
        <f>SUM(H11:J11)</f>
        <v>1251.0895</v>
      </c>
      <c r="L11" s="420">
        <f t="shared" si="1"/>
        <v>14994.717000000001</v>
      </c>
      <c r="M11" s="31"/>
    </row>
    <row r="12" spans="1:16">
      <c r="A12" s="10"/>
      <c r="B12" s="10"/>
      <c r="C12" s="53"/>
      <c r="D12" s="11"/>
      <c r="E12" s="54"/>
      <c r="F12" s="11"/>
      <c r="G12" s="11"/>
      <c r="H12" s="11"/>
      <c r="I12" s="11"/>
      <c r="J12" s="11"/>
      <c r="K12" s="11"/>
      <c r="L12" s="11"/>
      <c r="M12" s="11"/>
      <c r="N12" s="11"/>
      <c r="O12" s="10"/>
      <c r="P12" s="10"/>
    </row>
    <row r="13" spans="1:16">
      <c r="A13" s="10"/>
      <c r="B13" s="10"/>
      <c r="C13" s="53"/>
      <c r="D13" s="11"/>
      <c r="E13" s="54"/>
      <c r="F13" s="11"/>
      <c r="G13" s="11"/>
      <c r="H13" s="11"/>
      <c r="I13" s="11"/>
      <c r="J13" s="11"/>
      <c r="K13" s="11"/>
      <c r="L13" s="11"/>
      <c r="M13" s="11"/>
      <c r="N13" s="11"/>
      <c r="O13" s="10"/>
      <c r="P13" s="10"/>
    </row>
    <row r="14" spans="1:16" ht="21" customHeight="1">
      <c r="A14" s="648" t="s">
        <v>325</v>
      </c>
      <c r="B14" s="648"/>
      <c r="C14" s="648"/>
      <c r="D14" s="648"/>
      <c r="E14" s="648"/>
      <c r="F14" s="648"/>
      <c r="G14" s="648"/>
      <c r="H14" s="648"/>
      <c r="I14" s="648"/>
      <c r="J14" s="648"/>
      <c r="K14" s="648"/>
      <c r="L14" s="648"/>
      <c r="M14" s="648"/>
      <c r="N14" s="648"/>
      <c r="O14" s="648"/>
    </row>
    <row r="15" spans="1:16" ht="15" customHeight="1" thickBo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1:16" ht="15.75" thickBot="1">
      <c r="D16" s="435" t="s">
        <v>289</v>
      </c>
      <c r="E16" s="481"/>
      <c r="F16" s="481"/>
      <c r="G16" s="436"/>
      <c r="H16" s="507" t="s">
        <v>288</v>
      </c>
      <c r="I16" s="660"/>
      <c r="J16" s="660"/>
      <c r="K16" s="508"/>
    </row>
    <row r="17" spans="1:15" ht="15" customHeight="1">
      <c r="A17" s="650" t="s">
        <v>68</v>
      </c>
      <c r="B17" s="651"/>
      <c r="C17" s="652"/>
      <c r="D17" s="669" t="s">
        <v>7</v>
      </c>
      <c r="E17" s="651" t="s">
        <v>306</v>
      </c>
      <c r="F17" s="651" t="s">
        <v>14</v>
      </c>
      <c r="G17" s="658" t="s">
        <v>37</v>
      </c>
      <c r="H17" s="669" t="s">
        <v>7</v>
      </c>
      <c r="I17" s="651" t="s">
        <v>306</v>
      </c>
      <c r="J17" s="651" t="s">
        <v>14</v>
      </c>
      <c r="K17" s="664" t="s">
        <v>37</v>
      </c>
      <c r="L17" s="656" t="s">
        <v>15</v>
      </c>
    </row>
    <row r="18" spans="1:15">
      <c r="A18" s="653"/>
      <c r="B18" s="654"/>
      <c r="C18" s="655"/>
      <c r="D18" s="670"/>
      <c r="E18" s="654"/>
      <c r="F18" s="654"/>
      <c r="G18" s="659"/>
      <c r="H18" s="670"/>
      <c r="I18" s="654"/>
      <c r="J18" s="654"/>
      <c r="K18" s="665"/>
      <c r="L18" s="657"/>
    </row>
    <row r="19" spans="1:15">
      <c r="A19" s="653"/>
      <c r="B19" s="654"/>
      <c r="C19" s="655"/>
      <c r="D19" s="670"/>
      <c r="E19" s="654"/>
      <c r="F19" s="654"/>
      <c r="G19" s="659"/>
      <c r="H19" s="670"/>
      <c r="I19" s="654"/>
      <c r="J19" s="654"/>
      <c r="K19" s="666"/>
      <c r="L19" s="657"/>
    </row>
    <row r="20" spans="1:15" ht="15.75" thickBot="1">
      <c r="A20" s="448" t="s">
        <v>124</v>
      </c>
      <c r="B20" s="449"/>
      <c r="C20" s="649"/>
      <c r="D20" s="214">
        <v>2633.33</v>
      </c>
      <c r="E20" s="396" t="s">
        <v>122</v>
      </c>
      <c r="F20" s="411" t="s">
        <v>122</v>
      </c>
      <c r="G20" s="391">
        <f>SUM(D20)</f>
        <v>2633.33</v>
      </c>
      <c r="H20" s="214">
        <v>2633.33</v>
      </c>
      <c r="I20" s="396" t="s">
        <v>122</v>
      </c>
      <c r="J20" s="411" t="s">
        <v>122</v>
      </c>
      <c r="K20" s="413">
        <f>SUM(H20)</f>
        <v>2633.33</v>
      </c>
      <c r="L20" s="395">
        <f>H20*12</f>
        <v>31599.96</v>
      </c>
      <c r="M20" s="31"/>
    </row>
    <row r="21" spans="1:15">
      <c r="A21" s="448" t="s">
        <v>125</v>
      </c>
      <c r="B21" s="449"/>
      <c r="C21" s="649"/>
      <c r="D21" s="661" t="s">
        <v>126</v>
      </c>
      <c r="E21" s="662"/>
      <c r="F21" s="662"/>
      <c r="G21" s="692"/>
      <c r="H21" s="661" t="s">
        <v>126</v>
      </c>
      <c r="I21" s="662"/>
      <c r="J21" s="662"/>
      <c r="K21" s="662"/>
      <c r="L21" s="663"/>
      <c r="M21" s="31"/>
    </row>
    <row r="22" spans="1:15">
      <c r="A22" s="448" t="s">
        <v>127</v>
      </c>
      <c r="B22" s="449"/>
      <c r="C22" s="649"/>
      <c r="D22" s="661" t="s">
        <v>126</v>
      </c>
      <c r="E22" s="662"/>
      <c r="F22" s="662"/>
      <c r="G22" s="692"/>
      <c r="H22" s="661" t="s">
        <v>126</v>
      </c>
      <c r="I22" s="662"/>
      <c r="J22" s="662"/>
      <c r="K22" s="662"/>
      <c r="L22" s="692"/>
      <c r="M22" s="31"/>
    </row>
    <row r="23" spans="1:15" ht="15.75" thickBot="1">
      <c r="A23" s="448" t="s">
        <v>128</v>
      </c>
      <c r="B23" s="449"/>
      <c r="C23" s="649"/>
      <c r="D23" s="661" t="s">
        <v>126</v>
      </c>
      <c r="E23" s="662"/>
      <c r="F23" s="662"/>
      <c r="G23" s="692"/>
      <c r="H23" s="661" t="s">
        <v>126</v>
      </c>
      <c r="I23" s="662"/>
      <c r="J23" s="662"/>
      <c r="K23" s="662"/>
      <c r="L23" s="693"/>
      <c r="M23" s="31"/>
    </row>
    <row r="24" spans="1:15">
      <c r="A24" s="448" t="s">
        <v>129</v>
      </c>
      <c r="B24" s="449"/>
      <c r="C24" s="649"/>
      <c r="D24" s="214">
        <v>2712.59</v>
      </c>
      <c r="E24" s="213"/>
      <c r="F24" s="411" t="s">
        <v>122</v>
      </c>
      <c r="G24" s="404">
        <f>SUM(D24)</f>
        <v>2712.59</v>
      </c>
      <c r="H24" s="214">
        <v>2712.59</v>
      </c>
      <c r="I24" s="213"/>
      <c r="J24" s="411" t="s">
        <v>122</v>
      </c>
      <c r="K24" s="397">
        <f>SUM(H24:J24)</f>
        <v>2712.59</v>
      </c>
      <c r="L24" s="402">
        <f>H24*12</f>
        <v>32551.08</v>
      </c>
      <c r="M24" s="31"/>
    </row>
    <row r="25" spans="1:15">
      <c r="A25" s="448" t="s">
        <v>282</v>
      </c>
      <c r="B25" s="449"/>
      <c r="C25" s="649"/>
      <c r="D25" s="214">
        <f>1187.5</f>
        <v>1187.5</v>
      </c>
      <c r="E25" s="396" t="s">
        <v>122</v>
      </c>
      <c r="F25" s="411" t="s">
        <v>122</v>
      </c>
      <c r="G25" s="404">
        <f>SUM(D25)</f>
        <v>1187.5</v>
      </c>
      <c r="H25" s="214">
        <v>1187.5</v>
      </c>
      <c r="I25" s="396" t="s">
        <v>122</v>
      </c>
      <c r="J25" s="411" t="s">
        <v>122</v>
      </c>
      <c r="K25" s="397">
        <v>1187.5</v>
      </c>
      <c r="L25" s="400">
        <f>H25*12</f>
        <v>14250</v>
      </c>
      <c r="M25" s="31"/>
    </row>
    <row r="26" spans="1:15">
      <c r="A26" s="448" t="s">
        <v>283</v>
      </c>
      <c r="B26" s="449"/>
      <c r="C26" s="649"/>
      <c r="D26" s="214">
        <f>1200</f>
        <v>1200</v>
      </c>
      <c r="E26" s="396" t="s">
        <v>122</v>
      </c>
      <c r="F26" s="411" t="s">
        <v>122</v>
      </c>
      <c r="G26" s="404">
        <f>SUM(D26)</f>
        <v>1200</v>
      </c>
      <c r="H26" s="214">
        <f>1200</f>
        <v>1200</v>
      </c>
      <c r="I26" s="396" t="s">
        <v>122</v>
      </c>
      <c r="J26" s="411" t="s">
        <v>122</v>
      </c>
      <c r="K26" s="397">
        <v>1200</v>
      </c>
      <c r="L26" s="400">
        <f>H26*12</f>
        <v>14400</v>
      </c>
    </row>
    <row r="27" spans="1:15" ht="15.75" thickBot="1">
      <c r="A27" s="450" t="s">
        <v>284</v>
      </c>
      <c r="B27" s="451"/>
      <c r="C27" s="691"/>
      <c r="D27" s="201">
        <f>1300</f>
        <v>1300</v>
      </c>
      <c r="E27" s="398" t="s">
        <v>122</v>
      </c>
      <c r="F27" s="412" t="s">
        <v>122</v>
      </c>
      <c r="G27" s="406">
        <f>SUM(D27)</f>
        <v>1300</v>
      </c>
      <c r="H27" s="201">
        <f>1300</f>
        <v>1300</v>
      </c>
      <c r="I27" s="398" t="s">
        <v>122</v>
      </c>
      <c r="J27" s="412" t="s">
        <v>122</v>
      </c>
      <c r="K27" s="399">
        <v>1300</v>
      </c>
      <c r="L27" s="401">
        <f>H27*12</f>
        <v>15600</v>
      </c>
    </row>
    <row r="30" spans="1:15" ht="21" customHeight="1">
      <c r="A30" s="648" t="s">
        <v>324</v>
      </c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</row>
    <row r="31" spans="1:15" s="31" customFormat="1" ht="18.75" customHeight="1" thickBo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</row>
    <row r="32" spans="1:15" ht="15.75" thickBot="1">
      <c r="A32" s="279"/>
      <c r="B32" s="279"/>
      <c r="C32" s="279"/>
      <c r="D32" s="279"/>
      <c r="E32" s="279"/>
      <c r="F32" s="509" t="s">
        <v>289</v>
      </c>
      <c r="G32" s="690"/>
      <c r="H32" s="690"/>
      <c r="I32" s="510"/>
      <c r="J32" s="507" t="s">
        <v>288</v>
      </c>
      <c r="K32" s="660"/>
      <c r="L32" s="660"/>
      <c r="M32" s="508"/>
      <c r="N32" s="279"/>
    </row>
    <row r="33" spans="1:15">
      <c r="A33" s="460" t="s">
        <v>68</v>
      </c>
      <c r="B33" s="461"/>
      <c r="C33" s="461"/>
      <c r="D33" s="475" t="s">
        <v>130</v>
      </c>
      <c r="E33" s="468"/>
      <c r="F33" s="486" t="s">
        <v>7</v>
      </c>
      <c r="G33" s="461" t="s">
        <v>306</v>
      </c>
      <c r="H33" s="475" t="s">
        <v>14</v>
      </c>
      <c r="I33" s="468" t="s">
        <v>37</v>
      </c>
      <c r="J33" s="486" t="s">
        <v>7</v>
      </c>
      <c r="K33" s="461" t="s">
        <v>306</v>
      </c>
      <c r="L33" s="475" t="s">
        <v>14</v>
      </c>
      <c r="M33" s="468" t="s">
        <v>37</v>
      </c>
      <c r="N33" s="494" t="s">
        <v>15</v>
      </c>
    </row>
    <row r="34" spans="1:15">
      <c r="A34" s="463"/>
      <c r="B34" s="464"/>
      <c r="C34" s="464"/>
      <c r="D34" s="476"/>
      <c r="E34" s="470"/>
      <c r="F34" s="469"/>
      <c r="G34" s="464"/>
      <c r="H34" s="476"/>
      <c r="I34" s="470"/>
      <c r="J34" s="469"/>
      <c r="K34" s="464"/>
      <c r="L34" s="476"/>
      <c r="M34" s="470"/>
      <c r="N34" s="495"/>
    </row>
    <row r="35" spans="1:15">
      <c r="A35" s="463"/>
      <c r="B35" s="464"/>
      <c r="C35" s="464"/>
      <c r="D35" s="476"/>
      <c r="E35" s="470"/>
      <c r="F35" s="469"/>
      <c r="G35" s="464"/>
      <c r="H35" s="476"/>
      <c r="I35" s="470"/>
      <c r="J35" s="469"/>
      <c r="K35" s="464"/>
      <c r="L35" s="476"/>
      <c r="M35" s="470"/>
      <c r="N35" s="495"/>
    </row>
    <row r="36" spans="1:15">
      <c r="A36" s="502" t="s">
        <v>336</v>
      </c>
      <c r="B36" s="503"/>
      <c r="C36" s="503"/>
      <c r="D36" s="694">
        <v>1949</v>
      </c>
      <c r="E36" s="695"/>
      <c r="F36" s="214">
        <f>1223.4*1.015</f>
        <v>1241.751</v>
      </c>
      <c r="G36" s="213">
        <v>6.28</v>
      </c>
      <c r="H36" s="407" t="s">
        <v>122</v>
      </c>
      <c r="I36" s="404">
        <f>F36+G36</f>
        <v>1248.0309999999999</v>
      </c>
      <c r="J36" s="214">
        <f>1223.4*1.0175</f>
        <v>1244.8095000000001</v>
      </c>
      <c r="K36" s="213">
        <v>6.28</v>
      </c>
      <c r="L36" s="407" t="s">
        <v>122</v>
      </c>
      <c r="M36" s="404">
        <f>J36+K36</f>
        <v>1251.0895</v>
      </c>
      <c r="N36" s="400">
        <f>I36*6+M36*6</f>
        <v>14994.723</v>
      </c>
    </row>
    <row r="37" spans="1:15" ht="15.75" thickBot="1">
      <c r="A37" s="452" t="s">
        <v>337</v>
      </c>
      <c r="B37" s="520"/>
      <c r="C37" s="520"/>
      <c r="D37" s="708" t="s">
        <v>131</v>
      </c>
      <c r="E37" s="709"/>
      <c r="F37" s="201">
        <f>1223.4*1.015</f>
        <v>1241.751</v>
      </c>
      <c r="G37" s="205">
        <v>6.28</v>
      </c>
      <c r="H37" s="408" t="s">
        <v>122</v>
      </c>
      <c r="I37" s="406">
        <f>F37+G37</f>
        <v>1248.0309999999999</v>
      </c>
      <c r="J37" s="201">
        <f>1223.4*1.0175</f>
        <v>1244.8095000000001</v>
      </c>
      <c r="K37" s="205">
        <v>6.28</v>
      </c>
      <c r="L37" s="408" t="s">
        <v>122</v>
      </c>
      <c r="M37" s="406">
        <f>J37+K37</f>
        <v>1251.0895</v>
      </c>
      <c r="N37" s="400">
        <f>I37*6+M37*6</f>
        <v>14994.723</v>
      </c>
    </row>
    <row r="39" spans="1:15">
      <c r="A39" s="33"/>
      <c r="B39" s="10"/>
      <c r="C39" s="53"/>
      <c r="D39" s="10"/>
      <c r="E39" s="11"/>
      <c r="F39" s="11"/>
      <c r="G39" s="11"/>
      <c r="H39" s="11"/>
      <c r="I39" s="11"/>
      <c r="J39" s="11"/>
      <c r="K39" s="11"/>
      <c r="L39" s="11"/>
      <c r="M39" s="11"/>
    </row>
    <row r="40" spans="1:15" ht="21" customHeight="1">
      <c r="A40" s="648" t="s">
        <v>323</v>
      </c>
      <c r="B40" s="648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</row>
    <row r="43" spans="1:15">
      <c r="A43" s="530" t="s">
        <v>132</v>
      </c>
      <c r="B43" s="530"/>
      <c r="C43" s="530"/>
      <c r="D43" s="530"/>
      <c r="E43" s="530"/>
      <c r="F43" s="185"/>
    </row>
    <row r="44" spans="1:15" ht="15.75" thickBot="1">
      <c r="A44" s="530"/>
      <c r="B44" s="530"/>
      <c r="C44" s="530"/>
      <c r="D44" s="530"/>
      <c r="E44" s="530"/>
      <c r="F44" s="530"/>
    </row>
    <row r="45" spans="1:15" ht="15.75" thickBot="1">
      <c r="A45" s="279"/>
      <c r="B45" s="279"/>
      <c r="C45" s="279"/>
      <c r="D45" s="279"/>
      <c r="E45" s="279"/>
      <c r="F45" s="509" t="s">
        <v>289</v>
      </c>
      <c r="G45" s="690"/>
      <c r="H45" s="690"/>
      <c r="I45" s="510"/>
      <c r="J45" s="507" t="s">
        <v>288</v>
      </c>
      <c r="K45" s="660"/>
      <c r="L45" s="660"/>
      <c r="M45" s="508"/>
      <c r="N45" s="279"/>
    </row>
    <row r="46" spans="1:15">
      <c r="A46" s="460" t="s">
        <v>68</v>
      </c>
      <c r="B46" s="461"/>
      <c r="C46" s="461"/>
      <c r="D46" s="475" t="s">
        <v>130</v>
      </c>
      <c r="E46" s="473"/>
      <c r="F46" s="486" t="s">
        <v>7</v>
      </c>
      <c r="G46" s="461" t="s">
        <v>306</v>
      </c>
      <c r="H46" s="475" t="s">
        <v>14</v>
      </c>
      <c r="I46" s="468" t="s">
        <v>37</v>
      </c>
      <c r="J46" s="486" t="s">
        <v>7</v>
      </c>
      <c r="K46" s="461" t="s">
        <v>306</v>
      </c>
      <c r="L46" s="475" t="s">
        <v>14</v>
      </c>
      <c r="M46" s="468" t="s">
        <v>37</v>
      </c>
      <c r="N46" s="494" t="s">
        <v>15</v>
      </c>
    </row>
    <row r="47" spans="1:15">
      <c r="A47" s="463"/>
      <c r="B47" s="464"/>
      <c r="C47" s="464"/>
      <c r="D47" s="476"/>
      <c r="E47" s="474"/>
      <c r="F47" s="469"/>
      <c r="G47" s="464"/>
      <c r="H47" s="476"/>
      <c r="I47" s="470"/>
      <c r="J47" s="469"/>
      <c r="K47" s="464"/>
      <c r="L47" s="476"/>
      <c r="M47" s="470"/>
      <c r="N47" s="495"/>
    </row>
    <row r="48" spans="1:15">
      <c r="A48" s="463"/>
      <c r="B48" s="464"/>
      <c r="C48" s="464"/>
      <c r="D48" s="476"/>
      <c r="E48" s="474"/>
      <c r="F48" s="469"/>
      <c r="G48" s="464"/>
      <c r="H48" s="476"/>
      <c r="I48" s="470"/>
      <c r="J48" s="469"/>
      <c r="K48" s="464"/>
      <c r="L48" s="476"/>
      <c r="M48" s="470"/>
      <c r="N48" s="495"/>
    </row>
    <row r="49" spans="1:15">
      <c r="A49" s="502" t="s">
        <v>334</v>
      </c>
      <c r="B49" s="503"/>
      <c r="C49" s="503"/>
      <c r="D49" s="696" t="s">
        <v>133</v>
      </c>
      <c r="E49" s="697"/>
      <c r="F49" s="214">
        <f>1173</f>
        <v>1173</v>
      </c>
      <c r="G49" s="396" t="s">
        <v>122</v>
      </c>
      <c r="H49" s="403">
        <f>1173</f>
        <v>1173</v>
      </c>
      <c r="I49" s="404">
        <f>F49</f>
        <v>1173</v>
      </c>
      <c r="J49" s="214">
        <f>1173</f>
        <v>1173</v>
      </c>
      <c r="K49" s="396" t="s">
        <v>122</v>
      </c>
      <c r="L49" s="403">
        <v>1173</v>
      </c>
      <c r="M49" s="404">
        <f>J49</f>
        <v>1173</v>
      </c>
      <c r="N49" s="400">
        <f>F49*14</f>
        <v>16422</v>
      </c>
    </row>
    <row r="50" spans="1:15" ht="15" customHeight="1" thickBot="1">
      <c r="A50" s="452" t="s">
        <v>333</v>
      </c>
      <c r="B50" s="520"/>
      <c r="C50" s="520"/>
      <c r="D50" s="698" t="s">
        <v>134</v>
      </c>
      <c r="E50" s="699"/>
      <c r="F50" s="201">
        <f>1173</f>
        <v>1173</v>
      </c>
      <c r="G50" s="398" t="s">
        <v>122</v>
      </c>
      <c r="H50" s="405">
        <f>1173</f>
        <v>1173</v>
      </c>
      <c r="I50" s="406">
        <f>F50</f>
        <v>1173</v>
      </c>
      <c r="J50" s="201">
        <f>1173</f>
        <v>1173</v>
      </c>
      <c r="K50" s="398" t="s">
        <v>122</v>
      </c>
      <c r="L50" s="405">
        <v>1173</v>
      </c>
      <c r="M50" s="406">
        <f>J50</f>
        <v>1173</v>
      </c>
      <c r="N50" s="401">
        <f>F50*14</f>
        <v>16422</v>
      </c>
    </row>
    <row r="51" spans="1:15">
      <c r="A51" s="710"/>
      <c r="B51" s="710"/>
      <c r="C51" s="710"/>
      <c r="D51" s="633"/>
      <c r="E51" s="633"/>
      <c r="F51" s="630"/>
      <c r="G51" s="630"/>
      <c r="H51" s="630"/>
      <c r="I51" s="630"/>
      <c r="J51" s="59"/>
      <c r="K51" s="186"/>
      <c r="L51" s="630"/>
      <c r="M51" s="630"/>
    </row>
    <row r="52" spans="1:15">
      <c r="A52" s="710"/>
      <c r="B52" s="710"/>
      <c r="C52" s="710"/>
      <c r="D52" s="633"/>
      <c r="E52" s="633"/>
      <c r="F52" s="630"/>
      <c r="G52" s="630"/>
      <c r="H52" s="630"/>
      <c r="I52" s="630"/>
      <c r="J52" s="59"/>
      <c r="K52" s="186"/>
      <c r="L52" s="630"/>
      <c r="M52" s="630"/>
    </row>
    <row r="53" spans="1:15" ht="21">
      <c r="A53" s="648" t="s">
        <v>322</v>
      </c>
      <c r="B53" s="648"/>
      <c r="C53" s="648"/>
      <c r="D53" s="648"/>
      <c r="E53" s="648"/>
      <c r="F53" s="648"/>
      <c r="G53" s="648"/>
      <c r="H53" s="648"/>
      <c r="I53" s="648"/>
      <c r="J53" s="648"/>
      <c r="K53" s="648"/>
      <c r="L53" s="648"/>
      <c r="M53" s="648"/>
      <c r="N53" s="648"/>
      <c r="O53" s="648"/>
    </row>
    <row r="56" spans="1:15">
      <c r="A56" s="530" t="s">
        <v>132</v>
      </c>
      <c r="B56" s="530"/>
      <c r="C56" s="530"/>
      <c r="D56" s="530"/>
      <c r="E56" s="530"/>
      <c r="F56" s="185"/>
    </row>
    <row r="57" spans="1:15" ht="15.75" thickBot="1">
      <c r="A57" s="530"/>
      <c r="B57" s="530"/>
      <c r="C57" s="530"/>
      <c r="D57" s="530"/>
      <c r="E57" s="530"/>
      <c r="F57" s="530"/>
    </row>
    <row r="58" spans="1:15" ht="15.75" thickBot="1">
      <c r="A58" s="279"/>
      <c r="B58" s="279"/>
      <c r="C58" s="279"/>
      <c r="D58" s="279"/>
      <c r="E58" s="279"/>
      <c r="F58" s="509" t="s">
        <v>289</v>
      </c>
      <c r="G58" s="690"/>
      <c r="H58" s="690"/>
      <c r="I58" s="510"/>
      <c r="J58" s="507" t="s">
        <v>288</v>
      </c>
      <c r="K58" s="660"/>
      <c r="L58" s="660"/>
      <c r="M58" s="508"/>
      <c r="N58" s="279"/>
    </row>
    <row r="59" spans="1:15">
      <c r="A59" s="460" t="s">
        <v>68</v>
      </c>
      <c r="B59" s="461"/>
      <c r="C59" s="461"/>
      <c r="D59" s="475" t="s">
        <v>130</v>
      </c>
      <c r="E59" s="468"/>
      <c r="F59" s="486" t="s">
        <v>7</v>
      </c>
      <c r="G59" s="461" t="s">
        <v>306</v>
      </c>
      <c r="H59" s="475" t="s">
        <v>14</v>
      </c>
      <c r="I59" s="473" t="s">
        <v>37</v>
      </c>
      <c r="J59" s="486" t="s">
        <v>7</v>
      </c>
      <c r="K59" s="461" t="s">
        <v>306</v>
      </c>
      <c r="L59" s="475" t="s">
        <v>14</v>
      </c>
      <c r="M59" s="468" t="s">
        <v>37</v>
      </c>
      <c r="N59" s="494" t="s">
        <v>15</v>
      </c>
    </row>
    <row r="60" spans="1:15">
      <c r="A60" s="463"/>
      <c r="B60" s="464"/>
      <c r="C60" s="464"/>
      <c r="D60" s="476"/>
      <c r="E60" s="470"/>
      <c r="F60" s="469"/>
      <c r="G60" s="464"/>
      <c r="H60" s="476"/>
      <c r="I60" s="474"/>
      <c r="J60" s="469"/>
      <c r="K60" s="464"/>
      <c r="L60" s="476"/>
      <c r="M60" s="470"/>
      <c r="N60" s="495"/>
    </row>
    <row r="61" spans="1:15">
      <c r="A61" s="463"/>
      <c r="B61" s="464"/>
      <c r="C61" s="464"/>
      <c r="D61" s="476"/>
      <c r="E61" s="470"/>
      <c r="F61" s="469"/>
      <c r="G61" s="464"/>
      <c r="H61" s="476"/>
      <c r="I61" s="474"/>
      <c r="J61" s="469"/>
      <c r="K61" s="464"/>
      <c r="L61" s="476"/>
      <c r="M61" s="470"/>
      <c r="N61" s="495"/>
    </row>
    <row r="62" spans="1:15" ht="15" customHeight="1">
      <c r="A62" s="502" t="s">
        <v>338</v>
      </c>
      <c r="B62" s="503"/>
      <c r="C62" s="503"/>
      <c r="D62" s="696" t="s">
        <v>135</v>
      </c>
      <c r="E62" s="700"/>
      <c r="F62" s="214">
        <f>1200</f>
        <v>1200</v>
      </c>
      <c r="G62" s="396" t="s">
        <v>122</v>
      </c>
      <c r="H62" s="389" t="s">
        <v>122</v>
      </c>
      <c r="I62" s="397">
        <f>F62</f>
        <v>1200</v>
      </c>
      <c r="J62" s="214">
        <f>1200</f>
        <v>1200</v>
      </c>
      <c r="K62" s="396" t="s">
        <v>122</v>
      </c>
      <c r="L62" s="389" t="s">
        <v>122</v>
      </c>
      <c r="M62" s="404">
        <f>J62</f>
        <v>1200</v>
      </c>
      <c r="N62" s="400">
        <f>I62*12</f>
        <v>14400</v>
      </c>
    </row>
    <row r="63" spans="1:15" ht="15" customHeight="1" thickBot="1">
      <c r="A63" s="452" t="s">
        <v>338</v>
      </c>
      <c r="B63" s="520"/>
      <c r="C63" s="520"/>
      <c r="D63" s="698" t="s">
        <v>136</v>
      </c>
      <c r="E63" s="707"/>
      <c r="F63" s="201">
        <f>1300</f>
        <v>1300</v>
      </c>
      <c r="G63" s="398" t="s">
        <v>122</v>
      </c>
      <c r="H63" s="393" t="s">
        <v>122</v>
      </c>
      <c r="I63" s="399">
        <f>F63</f>
        <v>1300</v>
      </c>
      <c r="J63" s="201">
        <f>1300</f>
        <v>1300</v>
      </c>
      <c r="K63" s="398" t="s">
        <v>122</v>
      </c>
      <c r="L63" s="393" t="s">
        <v>122</v>
      </c>
      <c r="M63" s="406">
        <f>J63</f>
        <v>1300</v>
      </c>
      <c r="N63" s="401">
        <f>I63*12</f>
        <v>15600</v>
      </c>
    </row>
    <row r="64" spans="1:15">
      <c r="A64" s="632"/>
      <c r="B64" s="632"/>
      <c r="C64" s="632"/>
      <c r="D64" s="633"/>
      <c r="E64" s="633"/>
      <c r="F64" s="630"/>
      <c r="G64" s="630"/>
      <c r="H64" s="630"/>
      <c r="I64" s="630"/>
      <c r="J64" s="59"/>
      <c r="K64" s="186"/>
      <c r="L64" s="630"/>
      <c r="M64" s="630"/>
    </row>
    <row r="65" spans="1:15">
      <c r="A65" s="632"/>
      <c r="B65" s="632"/>
      <c r="C65" s="632"/>
      <c r="D65" s="633"/>
      <c r="E65" s="633"/>
      <c r="F65" s="630"/>
      <c r="G65" s="630"/>
      <c r="H65" s="630"/>
      <c r="I65" s="630"/>
      <c r="J65" s="59"/>
      <c r="K65" s="186"/>
      <c r="L65" s="630"/>
      <c r="M65" s="630"/>
    </row>
    <row r="66" spans="1:15">
      <c r="A66" s="632"/>
      <c r="B66" s="632"/>
      <c r="C66" s="632"/>
      <c r="D66" s="633"/>
      <c r="E66" s="633"/>
      <c r="F66" s="630"/>
      <c r="G66" s="630"/>
      <c r="H66" s="630"/>
      <c r="I66" s="630"/>
      <c r="J66" s="59"/>
      <c r="K66" s="186"/>
      <c r="L66" s="630"/>
      <c r="M66" s="630"/>
    </row>
    <row r="67" spans="1:15" ht="21">
      <c r="A67" s="648" t="s">
        <v>321</v>
      </c>
      <c r="B67" s="648"/>
      <c r="C67" s="648"/>
      <c r="D67" s="648"/>
      <c r="E67" s="648"/>
      <c r="F67" s="648"/>
      <c r="G67" s="648"/>
      <c r="H67" s="648"/>
      <c r="I67" s="648"/>
      <c r="J67" s="648"/>
      <c r="K67" s="648"/>
      <c r="L67" s="648"/>
      <c r="M67" s="648"/>
      <c r="N67" s="648"/>
      <c r="O67" s="648"/>
    </row>
    <row r="70" spans="1:15">
      <c r="A70" s="530" t="s">
        <v>132</v>
      </c>
      <c r="B70" s="530"/>
      <c r="C70" s="530"/>
      <c r="D70" s="530"/>
      <c r="E70" s="530"/>
      <c r="F70" s="185"/>
    </row>
    <row r="71" spans="1:15" ht="15.75" thickBot="1">
      <c r="A71" s="531"/>
      <c r="B71" s="531"/>
      <c r="C71" s="531"/>
      <c r="D71" s="531"/>
      <c r="E71" s="531"/>
      <c r="F71" s="531"/>
      <c r="G71" s="279"/>
      <c r="H71" s="279"/>
      <c r="I71" s="279"/>
      <c r="J71" s="279"/>
      <c r="K71" s="279"/>
      <c r="L71" s="279"/>
      <c r="M71" s="279"/>
      <c r="N71" s="279"/>
    </row>
    <row r="72" spans="1:15" ht="15.75" thickBot="1">
      <c r="A72" s="279"/>
      <c r="B72" s="279"/>
      <c r="C72" s="279"/>
      <c r="D72" s="279"/>
      <c r="E72" s="279"/>
      <c r="F72" s="509" t="s">
        <v>289</v>
      </c>
      <c r="G72" s="690"/>
      <c r="H72" s="690"/>
      <c r="I72" s="510"/>
      <c r="J72" s="507" t="s">
        <v>288</v>
      </c>
      <c r="K72" s="660"/>
      <c r="L72" s="660"/>
      <c r="M72" s="508"/>
      <c r="N72" s="279"/>
    </row>
    <row r="73" spans="1:15">
      <c r="A73" s="460" t="s">
        <v>68</v>
      </c>
      <c r="B73" s="461"/>
      <c r="C73" s="461"/>
      <c r="D73" s="475" t="s">
        <v>130</v>
      </c>
      <c r="E73" s="468"/>
      <c r="F73" s="486" t="s">
        <v>7</v>
      </c>
      <c r="G73" s="461" t="s">
        <v>306</v>
      </c>
      <c r="H73" s="475" t="s">
        <v>14</v>
      </c>
      <c r="I73" s="468" t="s">
        <v>37</v>
      </c>
      <c r="J73" s="456" t="s">
        <v>7</v>
      </c>
      <c r="K73" s="461" t="s">
        <v>306</v>
      </c>
      <c r="L73" s="475" t="s">
        <v>14</v>
      </c>
      <c r="M73" s="473" t="s">
        <v>37</v>
      </c>
      <c r="N73" s="494" t="s">
        <v>15</v>
      </c>
    </row>
    <row r="74" spans="1:15">
      <c r="A74" s="463"/>
      <c r="B74" s="464"/>
      <c r="C74" s="464"/>
      <c r="D74" s="476"/>
      <c r="E74" s="470"/>
      <c r="F74" s="469"/>
      <c r="G74" s="464"/>
      <c r="H74" s="476"/>
      <c r="I74" s="470"/>
      <c r="J74" s="457"/>
      <c r="K74" s="464"/>
      <c r="L74" s="476"/>
      <c r="M74" s="474"/>
      <c r="N74" s="495"/>
    </row>
    <row r="75" spans="1:15">
      <c r="A75" s="463"/>
      <c r="B75" s="464"/>
      <c r="C75" s="464"/>
      <c r="D75" s="476"/>
      <c r="E75" s="470"/>
      <c r="F75" s="469"/>
      <c r="G75" s="464"/>
      <c r="H75" s="476"/>
      <c r="I75" s="470"/>
      <c r="J75" s="457"/>
      <c r="K75" s="464"/>
      <c r="L75" s="476"/>
      <c r="M75" s="474"/>
      <c r="N75" s="495"/>
    </row>
    <row r="76" spans="1:15">
      <c r="A76" s="636" t="s">
        <v>335</v>
      </c>
      <c r="B76" s="637"/>
      <c r="C76" s="637"/>
      <c r="D76" s="705" t="s">
        <v>137</v>
      </c>
      <c r="E76" s="706"/>
      <c r="F76" s="214">
        <f>1560</f>
        <v>1560</v>
      </c>
      <c r="G76" s="396" t="s">
        <v>122</v>
      </c>
      <c r="H76" s="389" t="s">
        <v>122</v>
      </c>
      <c r="I76" s="404">
        <f>F76</f>
        <v>1560</v>
      </c>
      <c r="J76" s="263">
        <f>1560</f>
        <v>1560</v>
      </c>
      <c r="K76" s="396" t="s">
        <v>122</v>
      </c>
      <c r="L76" s="389" t="s">
        <v>122</v>
      </c>
      <c r="M76" s="397">
        <f>J76</f>
        <v>1560</v>
      </c>
      <c r="N76" s="394">
        <f>J76*12</f>
        <v>18720</v>
      </c>
    </row>
    <row r="77" spans="1:15">
      <c r="A77" s="636" t="s">
        <v>335</v>
      </c>
      <c r="B77" s="637"/>
      <c r="C77" s="637"/>
      <c r="D77" s="705" t="s">
        <v>138</v>
      </c>
      <c r="E77" s="706"/>
      <c r="F77" s="214">
        <f>1620</f>
        <v>1620</v>
      </c>
      <c r="G77" s="396" t="s">
        <v>122</v>
      </c>
      <c r="H77" s="389" t="s">
        <v>122</v>
      </c>
      <c r="I77" s="404">
        <f t="shared" ref="I77:I79" si="2">F77</f>
        <v>1620</v>
      </c>
      <c r="J77" s="263">
        <f>1620</f>
        <v>1620</v>
      </c>
      <c r="K77" s="396" t="s">
        <v>122</v>
      </c>
      <c r="L77" s="389" t="s">
        <v>122</v>
      </c>
      <c r="M77" s="397">
        <f t="shared" ref="M77:M79" si="3">J77</f>
        <v>1620</v>
      </c>
      <c r="N77" s="394">
        <f t="shared" ref="N77:N79" si="4">J77*12</f>
        <v>19440</v>
      </c>
    </row>
    <row r="78" spans="1:15">
      <c r="A78" s="636" t="s">
        <v>335</v>
      </c>
      <c r="B78" s="637"/>
      <c r="C78" s="637"/>
      <c r="D78" s="703" t="s">
        <v>139</v>
      </c>
      <c r="E78" s="704"/>
      <c r="F78" s="214">
        <f>1740</f>
        <v>1740</v>
      </c>
      <c r="G78" s="396" t="s">
        <v>122</v>
      </c>
      <c r="H78" s="390" t="s">
        <v>122</v>
      </c>
      <c r="I78" s="404">
        <f t="shared" si="2"/>
        <v>1740</v>
      </c>
      <c r="J78" s="263">
        <f>1740</f>
        <v>1740</v>
      </c>
      <c r="K78" s="396" t="s">
        <v>122</v>
      </c>
      <c r="L78" s="390" t="s">
        <v>122</v>
      </c>
      <c r="M78" s="397">
        <f t="shared" si="3"/>
        <v>1740</v>
      </c>
      <c r="N78" s="394">
        <f t="shared" si="4"/>
        <v>20880</v>
      </c>
    </row>
    <row r="79" spans="1:15" ht="15.75" thickBot="1">
      <c r="A79" s="639" t="s">
        <v>335</v>
      </c>
      <c r="B79" s="640"/>
      <c r="C79" s="640"/>
      <c r="D79" s="701" t="s">
        <v>140</v>
      </c>
      <c r="E79" s="702"/>
      <c r="F79" s="201">
        <f>1900</f>
        <v>1900</v>
      </c>
      <c r="G79" s="398" t="s">
        <v>122</v>
      </c>
      <c r="H79" s="392" t="s">
        <v>122</v>
      </c>
      <c r="I79" s="406">
        <f t="shared" si="2"/>
        <v>1900</v>
      </c>
      <c r="J79" s="202">
        <f>1900</f>
        <v>1900</v>
      </c>
      <c r="K79" s="398" t="s">
        <v>122</v>
      </c>
      <c r="L79" s="392" t="s">
        <v>122</v>
      </c>
      <c r="M79" s="399">
        <f t="shared" si="3"/>
        <v>1900</v>
      </c>
      <c r="N79" s="395">
        <f t="shared" si="4"/>
        <v>22800</v>
      </c>
    </row>
  </sheetData>
  <mergeCells count="146">
    <mergeCell ref="D77:E77"/>
    <mergeCell ref="A76:C76"/>
    <mergeCell ref="D76:E76"/>
    <mergeCell ref="A62:C62"/>
    <mergeCell ref="A63:C63"/>
    <mergeCell ref="D63:E63"/>
    <mergeCell ref="A37:C37"/>
    <mergeCell ref="D37:E37"/>
    <mergeCell ref="F46:F48"/>
    <mergeCell ref="A46:C48"/>
    <mergeCell ref="D46:E48"/>
    <mergeCell ref="A64:C64"/>
    <mergeCell ref="D64:E64"/>
    <mergeCell ref="F64:I64"/>
    <mergeCell ref="I73:I75"/>
    <mergeCell ref="A51:C51"/>
    <mergeCell ref="D51:E51"/>
    <mergeCell ref="A52:C52"/>
    <mergeCell ref="D52:E52"/>
    <mergeCell ref="F52:I52"/>
    <mergeCell ref="A40:O40"/>
    <mergeCell ref="N46:N48"/>
    <mergeCell ref="H46:H48"/>
    <mergeCell ref="I46:I48"/>
    <mergeCell ref="L64:M64"/>
    <mergeCell ref="A59:C61"/>
    <mergeCell ref="D59:E61"/>
    <mergeCell ref="A79:C79"/>
    <mergeCell ref="D79:E79"/>
    <mergeCell ref="A78:C78"/>
    <mergeCell ref="D78:E78"/>
    <mergeCell ref="M73:M75"/>
    <mergeCell ref="A70:E70"/>
    <mergeCell ref="A65:C65"/>
    <mergeCell ref="D65:E65"/>
    <mergeCell ref="F65:I65"/>
    <mergeCell ref="L65:M65"/>
    <mergeCell ref="L66:M66"/>
    <mergeCell ref="A66:C66"/>
    <mergeCell ref="D66:E66"/>
    <mergeCell ref="F66:I66"/>
    <mergeCell ref="A67:O67"/>
    <mergeCell ref="N73:N75"/>
    <mergeCell ref="N59:N61"/>
    <mergeCell ref="A77:C77"/>
    <mergeCell ref="G73:G75"/>
    <mergeCell ref="F73:F75"/>
    <mergeCell ref="H73:H75"/>
    <mergeCell ref="J73:J75"/>
    <mergeCell ref="K73:K75"/>
    <mergeCell ref="L73:L75"/>
    <mergeCell ref="A71:F71"/>
    <mergeCell ref="A73:C75"/>
    <mergeCell ref="D73:E75"/>
    <mergeCell ref="F72:I72"/>
    <mergeCell ref="J72:M72"/>
    <mergeCell ref="A50:C50"/>
    <mergeCell ref="D50:E50"/>
    <mergeCell ref="D62:E62"/>
    <mergeCell ref="A56:E56"/>
    <mergeCell ref="A57:F57"/>
    <mergeCell ref="A53:O53"/>
    <mergeCell ref="G59:G61"/>
    <mergeCell ref="F59:F61"/>
    <mergeCell ref="H59:H61"/>
    <mergeCell ref="I59:I61"/>
    <mergeCell ref="J59:J61"/>
    <mergeCell ref="K59:K61"/>
    <mergeCell ref="L59:L61"/>
    <mergeCell ref="M59:M61"/>
    <mergeCell ref="F58:I58"/>
    <mergeCell ref="L52:M52"/>
    <mergeCell ref="J46:J48"/>
    <mergeCell ref="K46:K48"/>
    <mergeCell ref="J45:M45"/>
    <mergeCell ref="F45:I45"/>
    <mergeCell ref="L51:M51"/>
    <mergeCell ref="L46:L48"/>
    <mergeCell ref="M46:M48"/>
    <mergeCell ref="F51:I51"/>
    <mergeCell ref="G46:G48"/>
    <mergeCell ref="J58:M58"/>
    <mergeCell ref="A24:C24"/>
    <mergeCell ref="A20:C20"/>
    <mergeCell ref="A23:C23"/>
    <mergeCell ref="A25:C25"/>
    <mergeCell ref="A26:C26"/>
    <mergeCell ref="A27:C27"/>
    <mergeCell ref="L33:L35"/>
    <mergeCell ref="I33:I35"/>
    <mergeCell ref="A22:C22"/>
    <mergeCell ref="D22:G22"/>
    <mergeCell ref="D23:G23"/>
    <mergeCell ref="D21:G21"/>
    <mergeCell ref="A33:C35"/>
    <mergeCell ref="H23:L23"/>
    <mergeCell ref="H22:L22"/>
    <mergeCell ref="A30:O30"/>
    <mergeCell ref="N33:N35"/>
    <mergeCell ref="A36:C36"/>
    <mergeCell ref="D36:E36"/>
    <mergeCell ref="A49:C49"/>
    <mergeCell ref="D49:E49"/>
    <mergeCell ref="A43:E43"/>
    <mergeCell ref="A44:F44"/>
    <mergeCell ref="D5:D7"/>
    <mergeCell ref="F5:F7"/>
    <mergeCell ref="E5:E7"/>
    <mergeCell ref="G5:G7"/>
    <mergeCell ref="H5:H7"/>
    <mergeCell ref="I5:I7"/>
    <mergeCell ref="J5:J7"/>
    <mergeCell ref="K5:K7"/>
    <mergeCell ref="M33:M35"/>
    <mergeCell ref="F32:I32"/>
    <mergeCell ref="J32:M32"/>
    <mergeCell ref="H33:H35"/>
    <mergeCell ref="F33:F35"/>
    <mergeCell ref="G33:G35"/>
    <mergeCell ref="J33:J35"/>
    <mergeCell ref="K33:K35"/>
    <mergeCell ref="D33:E35"/>
    <mergeCell ref="A2:O2"/>
    <mergeCell ref="A14:O14"/>
    <mergeCell ref="A21:C21"/>
    <mergeCell ref="A17:C19"/>
    <mergeCell ref="L17:L19"/>
    <mergeCell ref="G17:G19"/>
    <mergeCell ref="D16:G16"/>
    <mergeCell ref="H16:K16"/>
    <mergeCell ref="I17:I19"/>
    <mergeCell ref="J17:J19"/>
    <mergeCell ref="H21:L21"/>
    <mergeCell ref="K17:K19"/>
    <mergeCell ref="L5:L7"/>
    <mergeCell ref="D4:G4"/>
    <mergeCell ref="H4:K4"/>
    <mergeCell ref="F17:F19"/>
    <mergeCell ref="D17:D19"/>
    <mergeCell ref="E17:E19"/>
    <mergeCell ref="H17:H19"/>
    <mergeCell ref="A8:C8"/>
    <mergeCell ref="A9:C9"/>
    <mergeCell ref="A5:C7"/>
    <mergeCell ref="A10:C10"/>
    <mergeCell ref="A11:C11"/>
  </mergeCells>
  <pageMargins left="0.70866141732283472" right="0.70866141732283472" top="0.74803149606299213" bottom="0.74803149606299213" header="0.31496062992125984" footer="0.31496062992125984"/>
  <pageSetup paperSize="9" scale="5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T267"/>
  <sheetViews>
    <sheetView showGridLines="0" zoomScale="80" zoomScaleNormal="80" workbookViewId="0">
      <selection activeCell="I252" sqref="I252"/>
    </sheetView>
  </sheetViews>
  <sheetFormatPr defaultColWidth="11.42578125" defaultRowHeight="15"/>
  <cols>
    <col min="1" max="1" width="31.7109375" customWidth="1"/>
    <col min="2" max="2" width="16.7109375" customWidth="1"/>
    <col min="3" max="3" width="18.5703125" customWidth="1"/>
    <col min="4" max="4" width="21.5703125" customWidth="1"/>
    <col min="5" max="5" width="22" customWidth="1"/>
    <col min="6" max="6" width="18.85546875" customWidth="1"/>
    <col min="7" max="7" width="16.42578125" customWidth="1"/>
    <col min="8" max="8" width="14" customWidth="1"/>
    <col min="9" max="9" width="19.140625" customWidth="1"/>
    <col min="10" max="10" width="15.42578125" customWidth="1"/>
    <col min="11" max="11" width="13.28515625" customWidth="1"/>
    <col min="12" max="12" width="17.42578125" customWidth="1"/>
    <col min="13" max="13" width="13.42578125" customWidth="1"/>
    <col min="14" max="15" width="15.5703125" customWidth="1"/>
    <col min="16" max="16" width="14.140625" customWidth="1"/>
  </cols>
  <sheetData>
    <row r="1" spans="1:17" s="31" customFormat="1" ht="15.75" customHeight="1">
      <c r="A1" s="64"/>
    </row>
    <row r="2" spans="1:17" ht="21">
      <c r="A2" s="523" t="s">
        <v>290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</row>
    <row r="5" spans="1:17">
      <c r="A5" s="24" t="s">
        <v>10</v>
      </c>
      <c r="B5" s="24"/>
      <c r="C5" s="24"/>
      <c r="D5" s="24"/>
      <c r="E5" s="24"/>
      <c r="F5" s="24"/>
      <c r="G5" s="24"/>
      <c r="H5" s="24"/>
      <c r="I5" s="24"/>
      <c r="J5" s="24"/>
    </row>
    <row r="7" spans="1:17">
      <c r="A7" t="s">
        <v>0</v>
      </c>
    </row>
    <row r="9" spans="1:17">
      <c r="A9" t="s">
        <v>1</v>
      </c>
    </row>
    <row r="10" spans="1:17" s="22" customFormat="1" ht="15.75" thickBot="1"/>
    <row r="11" spans="1:17" s="22" customFormat="1" ht="15.75" thickBot="1">
      <c r="A11" s="10"/>
      <c r="B11" s="10"/>
      <c r="C11" s="10"/>
      <c r="D11" s="489" t="s">
        <v>289</v>
      </c>
      <c r="E11" s="490"/>
      <c r="F11" s="490"/>
      <c r="G11" s="490"/>
      <c r="H11" s="490"/>
      <c r="I11" s="715"/>
      <c r="J11" s="491" t="s">
        <v>288</v>
      </c>
      <c r="K11" s="492"/>
      <c r="L11" s="492"/>
      <c r="M11" s="492"/>
      <c r="N11" s="492"/>
      <c r="O11" s="493"/>
    </row>
    <row r="12" spans="1:17" s="22" customFormat="1" ht="30">
      <c r="A12" s="76" t="s">
        <v>11</v>
      </c>
      <c r="B12" s="77" t="s">
        <v>3</v>
      </c>
      <c r="C12" s="111" t="s">
        <v>4</v>
      </c>
      <c r="D12" s="76" t="s">
        <v>7</v>
      </c>
      <c r="E12" s="78" t="s">
        <v>8</v>
      </c>
      <c r="F12" s="78" t="s">
        <v>9</v>
      </c>
      <c r="G12" s="78" t="s">
        <v>12</v>
      </c>
      <c r="H12" s="78" t="s">
        <v>13</v>
      </c>
      <c r="I12" s="79" t="s">
        <v>14</v>
      </c>
      <c r="J12" s="76" t="s">
        <v>7</v>
      </c>
      <c r="K12" s="78" t="s">
        <v>8</v>
      </c>
      <c r="L12" s="78" t="s">
        <v>9</v>
      </c>
      <c r="M12" s="78" t="s">
        <v>12</v>
      </c>
      <c r="N12" s="78" t="s">
        <v>13</v>
      </c>
      <c r="O12" s="79" t="s">
        <v>14</v>
      </c>
      <c r="P12" s="117" t="s">
        <v>15</v>
      </c>
    </row>
    <row r="13" spans="1:17" s="22" customFormat="1" ht="15.75" thickBot="1">
      <c r="A13" s="43" t="s">
        <v>67</v>
      </c>
      <c r="B13" s="47">
        <v>29</v>
      </c>
      <c r="C13" s="112">
        <v>3</v>
      </c>
      <c r="D13" s="108">
        <v>1148.3399999999999</v>
      </c>
      <c r="E13" s="8">
        <v>899.69600000000003</v>
      </c>
      <c r="F13" s="8">
        <f>3832.57+5.38</f>
        <v>3837.9500000000003</v>
      </c>
      <c r="G13" s="9">
        <f>D13+E13+F13</f>
        <v>5885.9860000000008</v>
      </c>
      <c r="H13" s="109">
        <v>708.61</v>
      </c>
      <c r="I13" s="110">
        <f>(H13+E13+F13)</f>
        <v>5446.2560000000003</v>
      </c>
      <c r="J13" s="108">
        <v>1151.17</v>
      </c>
      <c r="K13" s="8">
        <v>901.92</v>
      </c>
      <c r="L13" s="8">
        <v>3847.39</v>
      </c>
      <c r="M13" s="9">
        <f>J13+K13+L13</f>
        <v>5900.48</v>
      </c>
      <c r="N13" s="102">
        <v>710.36</v>
      </c>
      <c r="O13" s="101">
        <f>(N13+K13+L13)</f>
        <v>5459.67</v>
      </c>
      <c r="P13" s="424">
        <f>(G13*6)+I13+(M13*6)+O13</f>
        <v>81624.721999999994</v>
      </c>
      <c r="Q13" s="88"/>
    </row>
    <row r="14" spans="1:17" s="22" customFormat="1">
      <c r="A14" s="45"/>
      <c r="B14" s="423"/>
      <c r="C14" s="423"/>
      <c r="D14" s="12"/>
      <c r="E14" s="12"/>
      <c r="F14" s="12"/>
      <c r="G14" s="13"/>
      <c r="H14" s="12"/>
      <c r="I14" s="12"/>
      <c r="J14" s="12"/>
      <c r="K14" s="12"/>
      <c r="L14" s="12"/>
      <c r="M14" s="13"/>
      <c r="N14" s="12"/>
      <c r="O14" s="12"/>
      <c r="P14" s="13"/>
      <c r="Q14" s="88"/>
    </row>
    <row r="15" spans="1:17" s="22" customFormat="1" ht="15.75" thickBot="1">
      <c r="A15" s="45"/>
      <c r="B15" s="423"/>
      <c r="C15" s="423"/>
      <c r="D15" s="12"/>
      <c r="E15" s="12"/>
      <c r="F15" s="12"/>
      <c r="G15" s="13"/>
      <c r="H15" s="12"/>
      <c r="I15" s="12"/>
      <c r="J15" s="12"/>
      <c r="K15" s="12"/>
      <c r="L15" s="12"/>
      <c r="M15" s="13"/>
      <c r="N15" s="12"/>
      <c r="O15" s="12"/>
      <c r="P15" s="13"/>
      <c r="Q15" s="88"/>
    </row>
    <row r="16" spans="1:17" ht="15.75" thickBot="1">
      <c r="D16" s="489" t="s">
        <v>289</v>
      </c>
      <c r="E16" s="490"/>
      <c r="F16" s="490"/>
      <c r="G16" s="490"/>
      <c r="H16" s="490"/>
      <c r="I16" s="715"/>
      <c r="J16" s="491" t="s">
        <v>288</v>
      </c>
      <c r="K16" s="492"/>
      <c r="L16" s="492"/>
      <c r="M16" s="492"/>
      <c r="N16" s="492"/>
      <c r="O16" s="493"/>
    </row>
    <row r="17" spans="1:17" ht="30">
      <c r="A17" s="84" t="s">
        <v>11</v>
      </c>
      <c r="B17" s="85" t="s">
        <v>3</v>
      </c>
      <c r="C17" s="104" t="s">
        <v>4</v>
      </c>
      <c r="D17" s="84" t="s">
        <v>7</v>
      </c>
      <c r="E17" s="86" t="s">
        <v>303</v>
      </c>
      <c r="F17" s="86" t="s">
        <v>9</v>
      </c>
      <c r="G17" s="86" t="s">
        <v>12</v>
      </c>
      <c r="H17" s="86" t="s">
        <v>13</v>
      </c>
      <c r="I17" s="87" t="s">
        <v>14</v>
      </c>
      <c r="J17" s="84" t="s">
        <v>7</v>
      </c>
      <c r="K17" s="86" t="s">
        <v>8</v>
      </c>
      <c r="L17" s="86" t="s">
        <v>9</v>
      </c>
      <c r="M17" s="86" t="s">
        <v>12</v>
      </c>
      <c r="N17" s="86" t="s">
        <v>13</v>
      </c>
      <c r="O17" s="87" t="s">
        <v>14</v>
      </c>
      <c r="P17" s="115" t="s">
        <v>15</v>
      </c>
    </row>
    <row r="18" spans="1:17">
      <c r="A18" s="28" t="s">
        <v>5</v>
      </c>
      <c r="B18" s="1">
        <v>29</v>
      </c>
      <c r="C18" s="105">
        <v>2</v>
      </c>
      <c r="D18" s="106">
        <v>1148.3399999999999</v>
      </c>
      <c r="E18" s="2">
        <v>899.69600000000003</v>
      </c>
      <c r="F18" s="2">
        <f>3148.37775+5.38</f>
        <v>3153.7577500000002</v>
      </c>
      <c r="G18" s="3">
        <f t="shared" ref="G18:G29" si="0">D18+E18+F18</f>
        <v>5201.7937500000007</v>
      </c>
      <c r="H18" s="158">
        <v>708.61</v>
      </c>
      <c r="I18" s="107">
        <f>(H18+E18+F18)</f>
        <v>4762.0637500000003</v>
      </c>
      <c r="J18" s="106">
        <v>1151.17</v>
      </c>
      <c r="K18" s="2">
        <v>901.92</v>
      </c>
      <c r="L18" s="2">
        <v>3161.51</v>
      </c>
      <c r="M18" s="3">
        <f t="shared" ref="M18:M29" si="1">J18+K18+L18</f>
        <v>5214.6000000000004</v>
      </c>
      <c r="N18" s="99">
        <v>710.36</v>
      </c>
      <c r="O18" s="116">
        <f t="shared" ref="O18:O29" si="2">(N18+K18+L18)</f>
        <v>4773.79</v>
      </c>
      <c r="P18" s="114">
        <f>(G18*6)+I18+(M18*6)+O18</f>
        <v>72034.216249999998</v>
      </c>
      <c r="Q18" s="88"/>
    </row>
    <row r="19" spans="1:17">
      <c r="A19" s="28" t="s">
        <v>5</v>
      </c>
      <c r="B19" s="1">
        <v>29</v>
      </c>
      <c r="C19" s="105">
        <v>1</v>
      </c>
      <c r="D19" s="106">
        <v>1148.3399999999999</v>
      </c>
      <c r="E19" s="2">
        <v>899.69600000000003</v>
      </c>
      <c r="F19" s="2">
        <f>2625.02+5.38</f>
        <v>2630.4</v>
      </c>
      <c r="G19" s="3">
        <f t="shared" si="0"/>
        <v>4678.4359999999997</v>
      </c>
      <c r="H19" s="158">
        <v>708.61</v>
      </c>
      <c r="I19" s="107">
        <f t="shared" ref="I19:I29" si="3">(H19+E19+F19)</f>
        <v>4238.7060000000001</v>
      </c>
      <c r="J19" s="106">
        <v>1151.17</v>
      </c>
      <c r="K19" s="2">
        <v>901.92</v>
      </c>
      <c r="L19" s="2">
        <v>2636.87</v>
      </c>
      <c r="M19" s="3">
        <f t="shared" si="1"/>
        <v>4689.96</v>
      </c>
      <c r="N19" s="99">
        <v>710.36</v>
      </c>
      <c r="O19" s="116">
        <f t="shared" si="2"/>
        <v>4249.1499999999996</v>
      </c>
      <c r="P19" s="114">
        <f t="shared" ref="P19:P29" si="4">(G19*6)+I19+(M19*6)+O19</f>
        <v>64698.232000000004</v>
      </c>
      <c r="Q19" s="88"/>
    </row>
    <row r="20" spans="1:17">
      <c r="A20" s="28" t="s">
        <v>5</v>
      </c>
      <c r="B20" s="1">
        <v>28</v>
      </c>
      <c r="C20" s="105">
        <v>2</v>
      </c>
      <c r="D20" s="106">
        <v>1148.3399999999999</v>
      </c>
      <c r="E20" s="2">
        <v>861.87710000000004</v>
      </c>
      <c r="F20" s="2">
        <f>2660.5+5.38</f>
        <v>2665.88</v>
      </c>
      <c r="G20" s="3">
        <f t="shared" si="0"/>
        <v>4676.0971</v>
      </c>
      <c r="H20" s="158">
        <v>708.61</v>
      </c>
      <c r="I20" s="107">
        <f t="shared" si="3"/>
        <v>4236.3671000000004</v>
      </c>
      <c r="J20" s="106">
        <v>1151.17</v>
      </c>
      <c r="K20" s="2">
        <v>864.01</v>
      </c>
      <c r="L20" s="2">
        <v>2672.43</v>
      </c>
      <c r="M20" s="3">
        <f t="shared" si="1"/>
        <v>4687.6099999999997</v>
      </c>
      <c r="N20" s="99">
        <v>710.36</v>
      </c>
      <c r="O20" s="116">
        <f t="shared" si="2"/>
        <v>4246.7999999999993</v>
      </c>
      <c r="P20" s="114">
        <f t="shared" si="4"/>
        <v>64665.409700000004</v>
      </c>
      <c r="Q20" s="88"/>
    </row>
    <row r="21" spans="1:17">
      <c r="A21" s="28" t="s">
        <v>5</v>
      </c>
      <c r="B21" s="1">
        <v>28</v>
      </c>
      <c r="C21" s="105">
        <v>1</v>
      </c>
      <c r="D21" s="106">
        <v>1148.3399999999999</v>
      </c>
      <c r="E21" s="2">
        <v>861.87710000000004</v>
      </c>
      <c r="F21" s="2">
        <f>2525.7057+5.38</f>
        <v>2531.0857000000001</v>
      </c>
      <c r="G21" s="3">
        <f t="shared" si="0"/>
        <v>4541.3027999999995</v>
      </c>
      <c r="H21" s="158">
        <v>708.61</v>
      </c>
      <c r="I21" s="107">
        <f t="shared" si="3"/>
        <v>4101.5727999999999</v>
      </c>
      <c r="J21" s="106">
        <v>1151.17</v>
      </c>
      <c r="K21" s="2">
        <v>864.01</v>
      </c>
      <c r="L21" s="2">
        <v>2537.31</v>
      </c>
      <c r="M21" s="3">
        <f t="shared" si="1"/>
        <v>4552.49</v>
      </c>
      <c r="N21" s="99">
        <v>710.36</v>
      </c>
      <c r="O21" s="116">
        <f t="shared" si="2"/>
        <v>4111.68</v>
      </c>
      <c r="P21" s="114">
        <f t="shared" si="4"/>
        <v>62776.009599999998</v>
      </c>
      <c r="Q21" s="88"/>
    </row>
    <row r="22" spans="1:17">
      <c r="A22" s="28" t="s">
        <v>5</v>
      </c>
      <c r="B22" s="1">
        <v>26</v>
      </c>
      <c r="C22" s="105"/>
      <c r="D22" s="106">
        <v>1148.3399999999999</v>
      </c>
      <c r="E22" s="2">
        <v>722.94</v>
      </c>
      <c r="F22" s="2">
        <f>1990.83+5.38</f>
        <v>1996.21</v>
      </c>
      <c r="G22" s="3">
        <f t="shared" si="0"/>
        <v>3867.49</v>
      </c>
      <c r="H22" s="158">
        <v>708.61</v>
      </c>
      <c r="I22" s="107">
        <f t="shared" si="3"/>
        <v>3427.76</v>
      </c>
      <c r="J22" s="106">
        <v>1151.17</v>
      </c>
      <c r="K22" s="2">
        <v>724.73</v>
      </c>
      <c r="L22" s="2">
        <v>2001.11</v>
      </c>
      <c r="M22" s="3">
        <f t="shared" si="1"/>
        <v>3877.01</v>
      </c>
      <c r="N22" s="99">
        <v>710.36</v>
      </c>
      <c r="O22" s="116">
        <f t="shared" si="2"/>
        <v>3436.2</v>
      </c>
      <c r="P22" s="114">
        <f t="shared" si="4"/>
        <v>53330.959999999992</v>
      </c>
      <c r="Q22" s="88"/>
    </row>
    <row r="23" spans="1:17">
      <c r="A23" s="28" t="s">
        <v>5</v>
      </c>
      <c r="B23" s="1">
        <v>25</v>
      </c>
      <c r="C23" s="105"/>
      <c r="D23" s="106">
        <v>1148.3399999999999</v>
      </c>
      <c r="E23" s="2">
        <v>641.40895</v>
      </c>
      <c r="F23" s="2">
        <f>1920.74+5.38</f>
        <v>1926.1200000000001</v>
      </c>
      <c r="G23" s="3">
        <f t="shared" si="0"/>
        <v>3715.86895</v>
      </c>
      <c r="H23" s="158">
        <v>708.61</v>
      </c>
      <c r="I23" s="107">
        <f t="shared" si="3"/>
        <v>3276.1389500000005</v>
      </c>
      <c r="J23" s="106">
        <v>1151.17</v>
      </c>
      <c r="K23" s="2">
        <v>642.98877499999992</v>
      </c>
      <c r="L23" s="2">
        <v>1930.85</v>
      </c>
      <c r="M23" s="3">
        <f t="shared" si="1"/>
        <v>3725.0087749999998</v>
      </c>
      <c r="N23" s="99">
        <v>710.36</v>
      </c>
      <c r="O23" s="116">
        <f t="shared" si="2"/>
        <v>3284.1987749999998</v>
      </c>
      <c r="P23" s="114">
        <f t="shared" si="4"/>
        <v>51205.604074999996</v>
      </c>
      <c r="Q23" s="88"/>
    </row>
    <row r="24" spans="1:17">
      <c r="A24" s="28" t="s">
        <v>5</v>
      </c>
      <c r="B24" s="1">
        <v>24</v>
      </c>
      <c r="C24" s="105">
        <v>3</v>
      </c>
      <c r="D24" s="106">
        <v>1148.3399999999999</v>
      </c>
      <c r="E24" s="2">
        <v>603.55959999999993</v>
      </c>
      <c r="F24" s="2">
        <f>1649.36+5.38</f>
        <v>1654.74</v>
      </c>
      <c r="G24" s="3">
        <f t="shared" si="0"/>
        <v>3406.6395999999995</v>
      </c>
      <c r="H24" s="158">
        <v>708.61</v>
      </c>
      <c r="I24" s="107">
        <f t="shared" si="3"/>
        <v>2966.9096</v>
      </c>
      <c r="J24" s="106">
        <v>1151.17</v>
      </c>
      <c r="K24" s="2">
        <v>605.0462</v>
      </c>
      <c r="L24" s="2">
        <v>1658.81</v>
      </c>
      <c r="M24" s="3">
        <f t="shared" si="1"/>
        <v>3415.0262000000002</v>
      </c>
      <c r="N24" s="99">
        <v>710.36</v>
      </c>
      <c r="O24" s="116">
        <f t="shared" si="2"/>
        <v>2974.2161999999998</v>
      </c>
      <c r="P24" s="114">
        <f t="shared" si="4"/>
        <v>46871.120600000002</v>
      </c>
      <c r="Q24" s="88"/>
    </row>
    <row r="25" spans="1:17">
      <c r="A25" s="28" t="s">
        <v>5</v>
      </c>
      <c r="B25" s="1">
        <v>24</v>
      </c>
      <c r="C25" s="105">
        <v>2</v>
      </c>
      <c r="D25" s="106">
        <v>1148.3399999999999</v>
      </c>
      <c r="E25" s="2">
        <v>603.55959999999993</v>
      </c>
      <c r="F25" s="2">
        <f>1175.37+5.38</f>
        <v>1180.75</v>
      </c>
      <c r="G25" s="3">
        <f t="shared" si="0"/>
        <v>2932.6495999999997</v>
      </c>
      <c r="H25" s="158">
        <v>708.61</v>
      </c>
      <c r="I25" s="107">
        <f t="shared" si="3"/>
        <v>2492.9196000000002</v>
      </c>
      <c r="J25" s="106">
        <v>1151.17</v>
      </c>
      <c r="K25" s="2">
        <v>605.0462</v>
      </c>
      <c r="L25" s="2">
        <v>1183.6400000000001</v>
      </c>
      <c r="M25" s="3">
        <f t="shared" si="1"/>
        <v>2939.8562000000002</v>
      </c>
      <c r="N25" s="99">
        <v>710.36</v>
      </c>
      <c r="O25" s="116">
        <f t="shared" si="2"/>
        <v>2499.0461999999998</v>
      </c>
      <c r="P25" s="114">
        <f t="shared" si="4"/>
        <v>40227.000599999999</v>
      </c>
      <c r="Q25" s="88"/>
    </row>
    <row r="26" spans="1:17">
      <c r="A26" s="28" t="s">
        <v>5</v>
      </c>
      <c r="B26" s="1">
        <v>24</v>
      </c>
      <c r="C26" s="105">
        <v>1</v>
      </c>
      <c r="D26" s="106">
        <v>1148.3399999999999</v>
      </c>
      <c r="E26" s="2">
        <v>603.55959999999993</v>
      </c>
      <c r="F26" s="2">
        <f>1081.08+5.38</f>
        <v>1086.46</v>
      </c>
      <c r="G26" s="3">
        <f t="shared" si="0"/>
        <v>2838.3595999999998</v>
      </c>
      <c r="H26" s="158">
        <v>708.61</v>
      </c>
      <c r="I26" s="107">
        <f t="shared" si="3"/>
        <v>2398.6296000000002</v>
      </c>
      <c r="J26" s="106">
        <v>1151.17</v>
      </c>
      <c r="K26" s="2">
        <v>605.0462</v>
      </c>
      <c r="L26" s="2">
        <v>1089.1199999999999</v>
      </c>
      <c r="M26" s="3">
        <f t="shared" si="1"/>
        <v>2845.3361999999997</v>
      </c>
      <c r="N26" s="99">
        <v>710.36</v>
      </c>
      <c r="O26" s="116">
        <f t="shared" si="2"/>
        <v>2404.5261999999998</v>
      </c>
      <c r="P26" s="114">
        <f t="shared" si="4"/>
        <v>38905.330599999994</v>
      </c>
      <c r="Q26" s="88"/>
    </row>
    <row r="27" spans="1:17">
      <c r="A27" s="28" t="s">
        <v>5</v>
      </c>
      <c r="B27" s="1">
        <v>23</v>
      </c>
      <c r="C27" s="105"/>
      <c r="D27" s="106">
        <v>1148.3399999999999</v>
      </c>
      <c r="E27" s="2">
        <v>565.77</v>
      </c>
      <c r="F27" s="2">
        <f>943.23+5.38</f>
        <v>948.61</v>
      </c>
      <c r="G27" s="3">
        <f t="shared" si="0"/>
        <v>2662.72</v>
      </c>
      <c r="H27" s="158">
        <v>708.61</v>
      </c>
      <c r="I27" s="107">
        <f t="shared" si="3"/>
        <v>2222.9900000000002</v>
      </c>
      <c r="J27" s="106">
        <v>1151.17</v>
      </c>
      <c r="K27" s="2">
        <v>567.16999999999996</v>
      </c>
      <c r="L27" s="2">
        <v>950.93</v>
      </c>
      <c r="M27" s="3">
        <f t="shared" si="1"/>
        <v>2669.27</v>
      </c>
      <c r="N27" s="99">
        <v>710.36</v>
      </c>
      <c r="O27" s="116">
        <f t="shared" si="2"/>
        <v>2228.46</v>
      </c>
      <c r="P27" s="114">
        <f t="shared" si="4"/>
        <v>36443.39</v>
      </c>
      <c r="Q27" s="88"/>
    </row>
    <row r="28" spans="1:17">
      <c r="A28" s="28" t="s">
        <v>5</v>
      </c>
      <c r="B28" s="1">
        <v>22</v>
      </c>
      <c r="C28" s="105">
        <v>2</v>
      </c>
      <c r="D28" s="106">
        <v>1148.3399999999999</v>
      </c>
      <c r="E28" s="2">
        <v>527.9</v>
      </c>
      <c r="F28" s="2">
        <f>757.03+5.38</f>
        <v>762.41</v>
      </c>
      <c r="G28" s="3">
        <f t="shared" si="0"/>
        <v>2438.6499999999996</v>
      </c>
      <c r="H28" s="158">
        <v>708.61</v>
      </c>
      <c r="I28" s="107">
        <f t="shared" si="3"/>
        <v>1998.92</v>
      </c>
      <c r="J28" s="106">
        <v>1151.17</v>
      </c>
      <c r="K28" s="2">
        <v>529.21</v>
      </c>
      <c r="L28" s="2">
        <v>764.27</v>
      </c>
      <c r="M28" s="3">
        <f t="shared" si="1"/>
        <v>2444.65</v>
      </c>
      <c r="N28" s="99">
        <v>710.36</v>
      </c>
      <c r="O28" s="116">
        <f t="shared" si="2"/>
        <v>2003.8400000000001</v>
      </c>
      <c r="P28" s="114">
        <f t="shared" si="4"/>
        <v>33302.559999999998</v>
      </c>
      <c r="Q28" s="88"/>
    </row>
    <row r="29" spans="1:17" ht="15.75" thickBot="1">
      <c r="A29" s="28" t="s">
        <v>5</v>
      </c>
      <c r="B29" s="1">
        <v>22</v>
      </c>
      <c r="C29" s="105">
        <v>1</v>
      </c>
      <c r="D29" s="106">
        <v>1148.3399999999999</v>
      </c>
      <c r="E29" s="8">
        <v>527.9</v>
      </c>
      <c r="F29" s="8">
        <f>612.27+5.38</f>
        <v>617.65</v>
      </c>
      <c r="G29" s="9">
        <f t="shared" si="0"/>
        <v>2293.89</v>
      </c>
      <c r="H29" s="158">
        <v>708.61</v>
      </c>
      <c r="I29" s="110">
        <f t="shared" si="3"/>
        <v>1854.1599999999999</v>
      </c>
      <c r="J29" s="108">
        <v>1151.17</v>
      </c>
      <c r="K29" s="8">
        <v>529.21</v>
      </c>
      <c r="L29" s="8">
        <v>619.16</v>
      </c>
      <c r="M29" s="9">
        <f t="shared" si="1"/>
        <v>2299.54</v>
      </c>
      <c r="N29" s="102">
        <v>710.36</v>
      </c>
      <c r="O29" s="101">
        <f t="shared" si="2"/>
        <v>1858.73</v>
      </c>
      <c r="P29" s="114">
        <f t="shared" si="4"/>
        <v>31273.469999999998</v>
      </c>
      <c r="Q29" s="88"/>
    </row>
    <row r="30" spans="1:17">
      <c r="A30" s="10"/>
      <c r="B30" s="10"/>
      <c r="C30" s="10"/>
      <c r="D30" s="12"/>
      <c r="E30" s="12"/>
      <c r="F30" s="12"/>
      <c r="G30" s="13"/>
      <c r="H30" s="12"/>
      <c r="I30" s="12"/>
      <c r="J30" s="13"/>
    </row>
    <row r="31" spans="1:17" s="22" customFormat="1">
      <c r="A31" s="10"/>
      <c r="B31" s="10"/>
      <c r="C31" s="10"/>
      <c r="D31" s="12"/>
      <c r="E31" s="12"/>
      <c r="F31" s="12"/>
      <c r="G31" s="13"/>
      <c r="H31" s="12"/>
      <c r="I31" s="12"/>
      <c r="J31" s="13"/>
    </row>
    <row r="32" spans="1:17" s="22" customFormat="1" ht="15.75" thickBot="1">
      <c r="A32" s="10"/>
      <c r="B32" s="10"/>
      <c r="C32" s="10"/>
      <c r="D32" s="12"/>
      <c r="E32" s="12"/>
      <c r="F32" s="12"/>
      <c r="G32" s="13"/>
      <c r="H32" s="12"/>
      <c r="I32" s="12"/>
      <c r="J32" s="13"/>
    </row>
    <row r="33" spans="1:20" ht="15.75" thickBot="1">
      <c r="A33" s="10"/>
      <c r="B33" s="10"/>
      <c r="C33" s="10"/>
      <c r="D33" s="489" t="s">
        <v>289</v>
      </c>
      <c r="E33" s="490"/>
      <c r="F33" s="490"/>
      <c r="G33" s="490"/>
      <c r="H33" s="490"/>
      <c r="I33" s="715"/>
      <c r="J33" s="491" t="s">
        <v>288</v>
      </c>
      <c r="K33" s="492"/>
      <c r="L33" s="492"/>
      <c r="M33" s="492"/>
      <c r="N33" s="492"/>
      <c r="O33" s="493"/>
    </row>
    <row r="34" spans="1:20" ht="30">
      <c r="A34" s="76" t="s">
        <v>11</v>
      </c>
      <c r="B34" s="77" t="s">
        <v>3</v>
      </c>
      <c r="C34" s="111" t="s">
        <v>4</v>
      </c>
      <c r="D34" s="76" t="s">
        <v>7</v>
      </c>
      <c r="E34" s="78" t="s">
        <v>8</v>
      </c>
      <c r="F34" s="78" t="s">
        <v>9</v>
      </c>
      <c r="G34" s="78" t="s">
        <v>12</v>
      </c>
      <c r="H34" s="78" t="s">
        <v>13</v>
      </c>
      <c r="I34" s="79" t="s">
        <v>14</v>
      </c>
      <c r="J34" s="76" t="s">
        <v>7</v>
      </c>
      <c r="K34" s="78" t="s">
        <v>8</v>
      </c>
      <c r="L34" s="78" t="s">
        <v>9</v>
      </c>
      <c r="M34" s="78" t="s">
        <v>12</v>
      </c>
      <c r="N34" s="78" t="s">
        <v>13</v>
      </c>
      <c r="O34" s="79" t="s">
        <v>14</v>
      </c>
      <c r="P34" s="113" t="s">
        <v>15</v>
      </c>
    </row>
    <row r="35" spans="1:20">
      <c r="A35" s="28" t="s">
        <v>6</v>
      </c>
      <c r="B35" s="1">
        <v>26</v>
      </c>
      <c r="C35" s="105">
        <v>3</v>
      </c>
      <c r="D35" s="106">
        <v>992.94</v>
      </c>
      <c r="E35" s="2">
        <v>722.94</v>
      </c>
      <c r="F35" s="2">
        <f>2043.69+5.38</f>
        <v>2049.0700000000002</v>
      </c>
      <c r="G35" s="3">
        <f t="shared" ref="G35:G56" si="5">D35+E35+F35</f>
        <v>3764.9500000000003</v>
      </c>
      <c r="H35" s="99">
        <v>724.16</v>
      </c>
      <c r="I35" s="146">
        <f t="shared" ref="I35:I56" si="6">(H35+E35+F35)</f>
        <v>3496.17</v>
      </c>
      <c r="J35" s="106">
        <v>995.39</v>
      </c>
      <c r="K35" s="2">
        <v>724.73</v>
      </c>
      <c r="L35" s="2">
        <v>2054.11</v>
      </c>
      <c r="M35" s="3">
        <f t="shared" ref="M35:M56" si="7">J35+K35+L35</f>
        <v>3774.23</v>
      </c>
      <c r="N35" s="99">
        <v>725.95</v>
      </c>
      <c r="O35" s="100">
        <f t="shared" ref="O35:O56" si="8">(N35+K35+L35)</f>
        <v>3504.79</v>
      </c>
      <c r="P35" s="114">
        <f>(G35*6)+I35+(M35*6)+O35</f>
        <v>52236.04</v>
      </c>
      <c r="Q35" s="88"/>
    </row>
    <row r="36" spans="1:20">
      <c r="A36" s="28" t="s">
        <v>6</v>
      </c>
      <c r="B36" s="1">
        <v>26</v>
      </c>
      <c r="C36" s="105">
        <v>2</v>
      </c>
      <c r="D36" s="106">
        <v>992.94</v>
      </c>
      <c r="E36" s="2">
        <v>722.94</v>
      </c>
      <c r="F36" s="2">
        <f>1903.44+5.38</f>
        <v>1908.8200000000002</v>
      </c>
      <c r="G36" s="3">
        <f t="shared" si="5"/>
        <v>3624.7000000000003</v>
      </c>
      <c r="H36" s="99">
        <v>724.16</v>
      </c>
      <c r="I36" s="146">
        <f t="shared" si="6"/>
        <v>3355.92</v>
      </c>
      <c r="J36" s="106">
        <v>995.39</v>
      </c>
      <c r="K36" s="2">
        <v>724.73</v>
      </c>
      <c r="L36" s="2">
        <v>1913.51</v>
      </c>
      <c r="M36" s="3">
        <f t="shared" si="7"/>
        <v>3633.63</v>
      </c>
      <c r="N36" s="99">
        <v>725.95</v>
      </c>
      <c r="O36" s="100">
        <f t="shared" si="8"/>
        <v>3364.19</v>
      </c>
      <c r="P36" s="114">
        <f t="shared" ref="P36:P56" si="9">(G36*6)+I36+(M36*6)+O36</f>
        <v>50270.090000000004</v>
      </c>
      <c r="Q36" s="88"/>
    </row>
    <row r="37" spans="1:20">
      <c r="A37" s="28" t="s">
        <v>6</v>
      </c>
      <c r="B37" s="1">
        <v>26</v>
      </c>
      <c r="C37" s="105">
        <v>1</v>
      </c>
      <c r="D37" s="106">
        <v>992.94</v>
      </c>
      <c r="E37" s="2">
        <v>722.94</v>
      </c>
      <c r="F37" s="2">
        <f>1811.55+5.38</f>
        <v>1816.93</v>
      </c>
      <c r="G37" s="3">
        <f t="shared" si="5"/>
        <v>3532.8100000000004</v>
      </c>
      <c r="H37" s="99">
        <v>724.16</v>
      </c>
      <c r="I37" s="146">
        <f t="shared" si="6"/>
        <v>3264.0299999999997</v>
      </c>
      <c r="J37" s="106">
        <v>995.39</v>
      </c>
      <c r="K37" s="2">
        <v>724.73</v>
      </c>
      <c r="L37" s="2">
        <v>1821.39</v>
      </c>
      <c r="M37" s="3">
        <f t="shared" si="7"/>
        <v>3541.51</v>
      </c>
      <c r="N37" s="99">
        <v>725.95</v>
      </c>
      <c r="O37" s="100">
        <f t="shared" si="8"/>
        <v>3272.07</v>
      </c>
      <c r="P37" s="114">
        <f t="shared" si="9"/>
        <v>48982.02</v>
      </c>
      <c r="Q37" s="88"/>
    </row>
    <row r="38" spans="1:20">
      <c r="A38" s="28" t="s">
        <v>6</v>
      </c>
      <c r="B38" s="1">
        <v>24</v>
      </c>
      <c r="C38" s="105">
        <v>7</v>
      </c>
      <c r="D38" s="106">
        <v>992.94</v>
      </c>
      <c r="E38" s="2">
        <v>603.55959999999993</v>
      </c>
      <c r="F38" s="2">
        <f>1428.59+5.38</f>
        <v>1433.97</v>
      </c>
      <c r="G38" s="3">
        <f t="shared" si="5"/>
        <v>3030.4696000000004</v>
      </c>
      <c r="H38" s="99">
        <v>724.16</v>
      </c>
      <c r="I38" s="146">
        <f t="shared" si="6"/>
        <v>2761.6895999999997</v>
      </c>
      <c r="J38" s="106">
        <v>995.39</v>
      </c>
      <c r="K38" s="2">
        <v>605.0462</v>
      </c>
      <c r="L38" s="2">
        <v>1437.49</v>
      </c>
      <c r="M38" s="3">
        <f t="shared" si="7"/>
        <v>3037.9261999999999</v>
      </c>
      <c r="N38" s="99">
        <v>725.95</v>
      </c>
      <c r="O38" s="100">
        <f t="shared" si="8"/>
        <v>2768.4862000000003</v>
      </c>
      <c r="P38" s="114">
        <f t="shared" si="9"/>
        <v>41940.550600000002</v>
      </c>
      <c r="Q38" s="88"/>
    </row>
    <row r="39" spans="1:20">
      <c r="A39" s="28" t="s">
        <v>6</v>
      </c>
      <c r="B39" s="1">
        <v>24</v>
      </c>
      <c r="C39" s="105">
        <v>6</v>
      </c>
      <c r="D39" s="106">
        <v>992.94</v>
      </c>
      <c r="E39" s="2">
        <v>603.55959999999993</v>
      </c>
      <c r="F39" s="2">
        <f>1229.1+5.38</f>
        <v>1234.48</v>
      </c>
      <c r="G39" s="3">
        <f t="shared" si="5"/>
        <v>2830.9796000000001</v>
      </c>
      <c r="H39" s="99">
        <v>724.16</v>
      </c>
      <c r="I39" s="146">
        <f t="shared" si="6"/>
        <v>2562.1995999999999</v>
      </c>
      <c r="J39" s="106">
        <v>995.39</v>
      </c>
      <c r="K39" s="2">
        <v>605.0462</v>
      </c>
      <c r="L39" s="2">
        <v>1237.51</v>
      </c>
      <c r="M39" s="3">
        <f t="shared" si="7"/>
        <v>2837.9462000000003</v>
      </c>
      <c r="N39" s="99">
        <v>725.95</v>
      </c>
      <c r="O39" s="100">
        <f t="shared" si="8"/>
        <v>2568.5061999999998</v>
      </c>
      <c r="P39" s="114">
        <f t="shared" si="9"/>
        <v>39144.260600000009</v>
      </c>
      <c r="Q39" s="88"/>
    </row>
    <row r="40" spans="1:20">
      <c r="A40" s="28" t="s">
        <v>6</v>
      </c>
      <c r="B40" s="1">
        <v>24</v>
      </c>
      <c r="C40" s="105">
        <v>5</v>
      </c>
      <c r="D40" s="106">
        <v>992.94</v>
      </c>
      <c r="E40" s="2">
        <v>603.55959999999993</v>
      </c>
      <c r="F40" s="2">
        <f>1085.8+5.38</f>
        <v>1091.18</v>
      </c>
      <c r="G40" s="3">
        <f t="shared" si="5"/>
        <v>2687.6796000000004</v>
      </c>
      <c r="H40" s="99">
        <v>724.16</v>
      </c>
      <c r="I40" s="146">
        <f t="shared" si="6"/>
        <v>2418.8995999999997</v>
      </c>
      <c r="J40" s="106">
        <v>995.39</v>
      </c>
      <c r="K40" s="2">
        <v>605.0462</v>
      </c>
      <c r="L40" s="2">
        <v>1088.4706249999999</v>
      </c>
      <c r="M40" s="3">
        <f t="shared" si="7"/>
        <v>2688.906825</v>
      </c>
      <c r="N40" s="99">
        <v>725.95</v>
      </c>
      <c r="O40" s="100">
        <f t="shared" si="8"/>
        <v>2419.466825</v>
      </c>
      <c r="P40" s="114">
        <f t="shared" si="9"/>
        <v>37097.884975000001</v>
      </c>
      <c r="Q40" s="88"/>
    </row>
    <row r="41" spans="1:20">
      <c r="A41" s="28" t="s">
        <v>6</v>
      </c>
      <c r="B41" s="1">
        <v>24</v>
      </c>
      <c r="C41" s="105">
        <v>4</v>
      </c>
      <c r="D41" s="106">
        <v>992.94</v>
      </c>
      <c r="E41" s="2">
        <v>603.55959999999993</v>
      </c>
      <c r="F41" s="2">
        <f>980.82+5.38</f>
        <v>986.2</v>
      </c>
      <c r="G41" s="3">
        <f t="shared" si="5"/>
        <v>2582.6995999999999</v>
      </c>
      <c r="H41" s="99">
        <v>724.16</v>
      </c>
      <c r="I41" s="146">
        <f t="shared" si="6"/>
        <v>2313.9196000000002</v>
      </c>
      <c r="J41" s="106">
        <v>995.39</v>
      </c>
      <c r="K41" s="2">
        <v>605.0462</v>
      </c>
      <c r="L41" s="2">
        <v>988.62</v>
      </c>
      <c r="M41" s="3">
        <f t="shared" si="7"/>
        <v>2589.0562</v>
      </c>
      <c r="N41" s="99">
        <v>725.95</v>
      </c>
      <c r="O41" s="100">
        <f t="shared" si="8"/>
        <v>2319.6161999999999</v>
      </c>
      <c r="P41" s="114">
        <f t="shared" si="9"/>
        <v>35664.070599999999</v>
      </c>
      <c r="Q41" s="88"/>
    </row>
    <row r="42" spans="1:20">
      <c r="A42" s="28" t="s">
        <v>6</v>
      </c>
      <c r="B42" s="1">
        <v>24</v>
      </c>
      <c r="C42" s="105">
        <v>3</v>
      </c>
      <c r="D42" s="106">
        <v>992.94</v>
      </c>
      <c r="E42" s="2">
        <v>603.55959999999993</v>
      </c>
      <c r="F42" s="2">
        <f>978.29+5.38</f>
        <v>983.67</v>
      </c>
      <c r="G42" s="3">
        <f t="shared" si="5"/>
        <v>2580.1696000000002</v>
      </c>
      <c r="H42" s="99">
        <v>724.16</v>
      </c>
      <c r="I42" s="146">
        <f t="shared" si="6"/>
        <v>2311.3896</v>
      </c>
      <c r="J42" s="106">
        <v>995.39</v>
      </c>
      <c r="K42" s="2">
        <v>605.0462</v>
      </c>
      <c r="L42" s="2">
        <v>986.08</v>
      </c>
      <c r="M42" s="3">
        <f t="shared" si="7"/>
        <v>2586.5162</v>
      </c>
      <c r="N42" s="99">
        <v>725.95</v>
      </c>
      <c r="O42" s="100">
        <f t="shared" si="8"/>
        <v>2317.0762</v>
      </c>
      <c r="P42" s="114">
        <f t="shared" si="9"/>
        <v>35628.580600000008</v>
      </c>
      <c r="Q42" s="88"/>
    </row>
    <row r="43" spans="1:20">
      <c r="A43" s="28" t="s">
        <v>6</v>
      </c>
      <c r="B43" s="1">
        <v>24</v>
      </c>
      <c r="C43" s="105">
        <v>2</v>
      </c>
      <c r="D43" s="106">
        <v>992.94</v>
      </c>
      <c r="E43" s="2">
        <v>603.55959999999993</v>
      </c>
      <c r="F43" s="2">
        <f>942.46+5.38</f>
        <v>947.84</v>
      </c>
      <c r="G43" s="3">
        <f t="shared" si="5"/>
        <v>2544.3396000000002</v>
      </c>
      <c r="H43" s="99">
        <v>724.16</v>
      </c>
      <c r="I43" s="146">
        <f t="shared" si="6"/>
        <v>2275.5596</v>
      </c>
      <c r="J43" s="106">
        <v>995.39</v>
      </c>
      <c r="K43" s="2">
        <v>605.0462</v>
      </c>
      <c r="L43" s="2">
        <v>950.16</v>
      </c>
      <c r="M43" s="3">
        <f t="shared" si="7"/>
        <v>2550.5962</v>
      </c>
      <c r="N43" s="99">
        <v>725.95</v>
      </c>
      <c r="O43" s="100">
        <f t="shared" si="8"/>
        <v>2281.1561999999999</v>
      </c>
      <c r="P43" s="114">
        <f t="shared" si="9"/>
        <v>35126.330600000001</v>
      </c>
      <c r="Q43" s="88"/>
    </row>
    <row r="44" spans="1:20">
      <c r="A44" s="28" t="s">
        <v>6</v>
      </c>
      <c r="B44" s="1">
        <v>24</v>
      </c>
      <c r="C44" s="105">
        <v>1</v>
      </c>
      <c r="D44" s="106">
        <v>992.94</v>
      </c>
      <c r="E44" s="2">
        <v>603.55959999999993</v>
      </c>
      <c r="F44" s="2">
        <f>870.79+5.38</f>
        <v>876.17</v>
      </c>
      <c r="G44" s="3">
        <f t="shared" si="5"/>
        <v>2472.6696000000002</v>
      </c>
      <c r="H44" s="99">
        <v>724.16</v>
      </c>
      <c r="I44" s="146">
        <f t="shared" si="6"/>
        <v>2203.8896</v>
      </c>
      <c r="J44" s="106">
        <v>995.39</v>
      </c>
      <c r="K44" s="2">
        <v>605.0462</v>
      </c>
      <c r="L44" s="2">
        <v>878.31</v>
      </c>
      <c r="M44" s="3">
        <f t="shared" si="7"/>
        <v>2478.7462</v>
      </c>
      <c r="N44" s="99">
        <v>725.95</v>
      </c>
      <c r="O44" s="100">
        <f t="shared" si="8"/>
        <v>2209.3062</v>
      </c>
      <c r="P44" s="114">
        <f t="shared" si="9"/>
        <v>34121.690600000002</v>
      </c>
      <c r="Q44" s="88"/>
    </row>
    <row r="45" spans="1:20">
      <c r="A45" s="28" t="s">
        <v>6</v>
      </c>
      <c r="B45" s="1">
        <v>23</v>
      </c>
      <c r="C45" s="105">
        <v>4</v>
      </c>
      <c r="D45" s="106">
        <v>992.94</v>
      </c>
      <c r="E45" s="2">
        <v>565.77</v>
      </c>
      <c r="F45" s="2">
        <v>1032.2347</v>
      </c>
      <c r="G45" s="3">
        <f t="shared" si="5"/>
        <v>2590.9447</v>
      </c>
      <c r="H45" s="99">
        <v>724.16</v>
      </c>
      <c r="I45" s="146">
        <f t="shared" si="6"/>
        <v>2322.1646999999998</v>
      </c>
      <c r="J45" s="106">
        <v>995.39</v>
      </c>
      <c r="K45" s="2">
        <v>567.16999999999996</v>
      </c>
      <c r="L45" s="2">
        <v>1040.1600000000001</v>
      </c>
      <c r="M45" s="3">
        <f t="shared" si="7"/>
        <v>2602.7200000000003</v>
      </c>
      <c r="N45" s="99">
        <v>725.95</v>
      </c>
      <c r="O45" s="100">
        <f t="shared" si="8"/>
        <v>2333.2799999999997</v>
      </c>
      <c r="P45" s="114">
        <f t="shared" si="9"/>
        <v>35817.4329</v>
      </c>
      <c r="Q45" s="88"/>
      <c r="T45" s="58"/>
    </row>
    <row r="46" spans="1:20">
      <c r="A46" s="28" t="s">
        <v>6</v>
      </c>
      <c r="B46" s="1">
        <v>23</v>
      </c>
      <c r="C46" s="105">
        <v>3</v>
      </c>
      <c r="D46" s="106">
        <v>992.94</v>
      </c>
      <c r="E46" s="2">
        <v>565.77</v>
      </c>
      <c r="F46" s="2">
        <f>924.74+5.38</f>
        <v>930.12</v>
      </c>
      <c r="G46" s="3">
        <f t="shared" si="5"/>
        <v>2488.83</v>
      </c>
      <c r="H46" s="99">
        <v>724.16</v>
      </c>
      <c r="I46" s="146">
        <f t="shared" si="6"/>
        <v>2220.0499999999997</v>
      </c>
      <c r="J46" s="106">
        <v>995.39</v>
      </c>
      <c r="K46" s="2">
        <v>567.16999999999996</v>
      </c>
      <c r="L46" s="2">
        <v>932.39</v>
      </c>
      <c r="M46" s="3">
        <f t="shared" si="7"/>
        <v>2494.9499999999998</v>
      </c>
      <c r="N46" s="99">
        <v>725.95</v>
      </c>
      <c r="O46" s="100">
        <f t="shared" si="8"/>
        <v>2225.5099999999998</v>
      </c>
      <c r="P46" s="114">
        <f t="shared" si="9"/>
        <v>34348.239999999998</v>
      </c>
      <c r="Q46" s="88"/>
    </row>
    <row r="47" spans="1:20">
      <c r="A47" s="28" t="s">
        <v>6</v>
      </c>
      <c r="B47" s="1">
        <v>23</v>
      </c>
      <c r="C47" s="105">
        <v>2</v>
      </c>
      <c r="D47" s="106">
        <v>992.94</v>
      </c>
      <c r="E47" s="2">
        <v>565.77</v>
      </c>
      <c r="F47" s="2">
        <f>888.91+5.38</f>
        <v>894.29</v>
      </c>
      <c r="G47" s="3">
        <f t="shared" si="5"/>
        <v>2453</v>
      </c>
      <c r="H47" s="99">
        <v>724.16</v>
      </c>
      <c r="I47" s="146">
        <f t="shared" si="6"/>
        <v>2184.2199999999998</v>
      </c>
      <c r="J47" s="106">
        <v>995.39</v>
      </c>
      <c r="K47" s="2">
        <v>567.16999999999996</v>
      </c>
      <c r="L47" s="2">
        <v>896.48</v>
      </c>
      <c r="M47" s="3">
        <f t="shared" si="7"/>
        <v>2459.04</v>
      </c>
      <c r="N47" s="99">
        <v>725.95</v>
      </c>
      <c r="O47" s="100">
        <f t="shared" si="8"/>
        <v>2189.6</v>
      </c>
      <c r="P47" s="114">
        <f t="shared" si="9"/>
        <v>33846.06</v>
      </c>
      <c r="Q47" s="88"/>
    </row>
    <row r="48" spans="1:20">
      <c r="A48" s="28" t="s">
        <v>6</v>
      </c>
      <c r="B48" s="1">
        <v>23</v>
      </c>
      <c r="C48" s="144" t="s">
        <v>16</v>
      </c>
      <c r="D48" s="106">
        <v>992.94</v>
      </c>
      <c r="E48" s="2">
        <v>565.77</v>
      </c>
      <c r="F48" s="2">
        <f>908.94+5.38</f>
        <v>914.32</v>
      </c>
      <c r="G48" s="3">
        <f t="shared" si="5"/>
        <v>2473.0300000000002</v>
      </c>
      <c r="H48" s="99">
        <v>724.16</v>
      </c>
      <c r="I48" s="146">
        <f t="shared" si="6"/>
        <v>2204.25</v>
      </c>
      <c r="J48" s="106">
        <v>995.39</v>
      </c>
      <c r="K48" s="2">
        <v>567.16999999999996</v>
      </c>
      <c r="L48" s="2">
        <v>916.56</v>
      </c>
      <c r="M48" s="3">
        <f t="shared" si="7"/>
        <v>2479.12</v>
      </c>
      <c r="N48" s="99">
        <v>725.95</v>
      </c>
      <c r="O48" s="100">
        <f t="shared" si="8"/>
        <v>2209.6799999999998</v>
      </c>
      <c r="P48" s="114">
        <f t="shared" si="9"/>
        <v>34126.83</v>
      </c>
      <c r="Q48" s="88"/>
    </row>
    <row r="49" spans="1:17">
      <c r="A49" s="28" t="s">
        <v>6</v>
      </c>
      <c r="B49" s="1">
        <v>23</v>
      </c>
      <c r="C49" s="105">
        <v>1</v>
      </c>
      <c r="D49" s="106">
        <v>992.94</v>
      </c>
      <c r="E49" s="2">
        <v>565.77</v>
      </c>
      <c r="F49" s="2">
        <f>817.24+5.38</f>
        <v>822.62</v>
      </c>
      <c r="G49" s="3">
        <f t="shared" si="5"/>
        <v>2381.33</v>
      </c>
      <c r="H49" s="99">
        <v>724.16</v>
      </c>
      <c r="I49" s="146">
        <f t="shared" si="6"/>
        <v>2112.5499999999997</v>
      </c>
      <c r="J49" s="106">
        <v>995.39</v>
      </c>
      <c r="K49" s="2">
        <v>567.16999999999996</v>
      </c>
      <c r="L49" s="2">
        <v>824.63</v>
      </c>
      <c r="M49" s="3">
        <f t="shared" si="7"/>
        <v>2387.19</v>
      </c>
      <c r="N49" s="99">
        <v>725.95</v>
      </c>
      <c r="O49" s="100">
        <f t="shared" si="8"/>
        <v>2117.75</v>
      </c>
      <c r="P49" s="114">
        <f t="shared" si="9"/>
        <v>32841.42</v>
      </c>
      <c r="Q49" s="88"/>
    </row>
    <row r="50" spans="1:17" s="22" customFormat="1">
      <c r="A50" s="28" t="s">
        <v>6</v>
      </c>
      <c r="B50" s="1">
        <v>22</v>
      </c>
      <c r="C50" s="105">
        <v>4</v>
      </c>
      <c r="D50" s="106">
        <v>992.94</v>
      </c>
      <c r="E50" s="2">
        <v>527.9</v>
      </c>
      <c r="F50" s="2">
        <f>2454.81+5.38</f>
        <v>2460.19</v>
      </c>
      <c r="G50" s="3">
        <f t="shared" si="5"/>
        <v>3981.03</v>
      </c>
      <c r="H50" s="99">
        <v>724.16</v>
      </c>
      <c r="I50" s="146">
        <f t="shared" si="6"/>
        <v>3712.25</v>
      </c>
      <c r="J50" s="106">
        <v>995.39</v>
      </c>
      <c r="K50" s="2">
        <v>529.21</v>
      </c>
      <c r="L50" s="2">
        <v>2466.2399999999998</v>
      </c>
      <c r="M50" s="3">
        <f t="shared" si="7"/>
        <v>3990.8399999999997</v>
      </c>
      <c r="N50" s="99">
        <v>725.95</v>
      </c>
      <c r="O50" s="100">
        <f t="shared" si="8"/>
        <v>3721.3999999999996</v>
      </c>
      <c r="P50" s="114">
        <f t="shared" si="9"/>
        <v>55264.87</v>
      </c>
      <c r="Q50" s="88"/>
    </row>
    <row r="51" spans="1:17">
      <c r="A51" s="28" t="s">
        <v>6</v>
      </c>
      <c r="B51" s="1">
        <v>22</v>
      </c>
      <c r="C51" s="144" t="s">
        <v>17</v>
      </c>
      <c r="D51" s="106">
        <v>992.94</v>
      </c>
      <c r="E51" s="2">
        <v>527.9</v>
      </c>
      <c r="F51" s="2">
        <f>880.33+5.38</f>
        <v>885.71</v>
      </c>
      <c r="G51" s="3">
        <f t="shared" si="5"/>
        <v>2406.5500000000002</v>
      </c>
      <c r="H51" s="99">
        <v>724.16</v>
      </c>
      <c r="I51" s="146">
        <f t="shared" si="6"/>
        <v>2137.77</v>
      </c>
      <c r="J51" s="106">
        <v>995.39</v>
      </c>
      <c r="K51" s="2">
        <v>529.21</v>
      </c>
      <c r="L51" s="2">
        <v>887.88</v>
      </c>
      <c r="M51" s="3">
        <f t="shared" si="7"/>
        <v>2412.48</v>
      </c>
      <c r="N51" s="99">
        <v>725.95</v>
      </c>
      <c r="O51" s="100">
        <f t="shared" si="8"/>
        <v>2143.04</v>
      </c>
      <c r="P51" s="114">
        <f t="shared" si="9"/>
        <v>33194.99</v>
      </c>
      <c r="Q51" s="88"/>
    </row>
    <row r="52" spans="1:17">
      <c r="A52" s="28" t="s">
        <v>6</v>
      </c>
      <c r="B52" s="1">
        <v>22</v>
      </c>
      <c r="C52" s="105">
        <v>3</v>
      </c>
      <c r="D52" s="106">
        <v>992.94</v>
      </c>
      <c r="E52" s="2">
        <v>527.9</v>
      </c>
      <c r="F52" s="2">
        <f>788.62+5.38</f>
        <v>794</v>
      </c>
      <c r="G52" s="3">
        <f t="shared" si="5"/>
        <v>2314.84</v>
      </c>
      <c r="H52" s="99">
        <v>724.16</v>
      </c>
      <c r="I52" s="146">
        <f t="shared" si="6"/>
        <v>2046.06</v>
      </c>
      <c r="J52" s="106">
        <v>995.39</v>
      </c>
      <c r="K52" s="2">
        <v>529.21</v>
      </c>
      <c r="L52" s="2">
        <v>795.95</v>
      </c>
      <c r="M52" s="3">
        <f t="shared" si="7"/>
        <v>2320.5500000000002</v>
      </c>
      <c r="N52" s="99">
        <v>725.95</v>
      </c>
      <c r="O52" s="100">
        <f t="shared" si="8"/>
        <v>2051.11</v>
      </c>
      <c r="P52" s="114">
        <f t="shared" si="9"/>
        <v>31909.510000000002</v>
      </c>
      <c r="Q52" s="88"/>
    </row>
    <row r="53" spans="1:17">
      <c r="A53" s="28" t="s">
        <v>6</v>
      </c>
      <c r="B53" s="1">
        <v>22</v>
      </c>
      <c r="C53" s="105">
        <v>2</v>
      </c>
      <c r="D53" s="106">
        <v>992.94</v>
      </c>
      <c r="E53" s="2">
        <v>527.9</v>
      </c>
      <c r="F53" s="2">
        <f>716.97+5.38</f>
        <v>722.35</v>
      </c>
      <c r="G53" s="3">
        <f t="shared" si="5"/>
        <v>2243.19</v>
      </c>
      <c r="H53" s="99">
        <v>724.16</v>
      </c>
      <c r="I53" s="146">
        <f t="shared" si="6"/>
        <v>1974.4099999999999</v>
      </c>
      <c r="J53" s="106">
        <v>995.39</v>
      </c>
      <c r="K53" s="2">
        <v>529.21</v>
      </c>
      <c r="L53" s="2">
        <v>724.11</v>
      </c>
      <c r="M53" s="3">
        <f t="shared" si="7"/>
        <v>2248.71</v>
      </c>
      <c r="N53" s="99">
        <v>725.95</v>
      </c>
      <c r="O53" s="100">
        <f t="shared" si="8"/>
        <v>1979.27</v>
      </c>
      <c r="P53" s="114">
        <f t="shared" si="9"/>
        <v>30905.079999999998</v>
      </c>
      <c r="Q53" s="88"/>
    </row>
    <row r="54" spans="1:17">
      <c r="A54" s="28" t="s">
        <v>6</v>
      </c>
      <c r="B54" s="1">
        <v>22</v>
      </c>
      <c r="C54" s="105">
        <v>1</v>
      </c>
      <c r="D54" s="106">
        <v>992.94</v>
      </c>
      <c r="E54" s="2">
        <v>527.9</v>
      </c>
      <c r="F54" s="2">
        <f>645.3+5.38</f>
        <v>650.67999999999995</v>
      </c>
      <c r="G54" s="3">
        <f t="shared" si="5"/>
        <v>2171.52</v>
      </c>
      <c r="H54" s="99">
        <v>724.16</v>
      </c>
      <c r="I54" s="146">
        <f t="shared" si="6"/>
        <v>1902.7399999999998</v>
      </c>
      <c r="J54" s="106">
        <v>995.39</v>
      </c>
      <c r="K54" s="2">
        <v>529.21</v>
      </c>
      <c r="L54" s="2">
        <v>652.27</v>
      </c>
      <c r="M54" s="3">
        <f t="shared" si="7"/>
        <v>2176.87</v>
      </c>
      <c r="N54" s="99">
        <v>725.95</v>
      </c>
      <c r="O54" s="100">
        <f t="shared" si="8"/>
        <v>1907.43</v>
      </c>
      <c r="P54" s="114">
        <f t="shared" si="9"/>
        <v>29900.51</v>
      </c>
      <c r="Q54" s="88"/>
    </row>
    <row r="55" spans="1:17">
      <c r="A55" s="28" t="s">
        <v>6</v>
      </c>
      <c r="B55" s="1">
        <v>21</v>
      </c>
      <c r="C55" s="105"/>
      <c r="D55" s="106">
        <v>992.94</v>
      </c>
      <c r="E55" s="2">
        <v>490.13</v>
      </c>
      <c r="F55" s="2">
        <f>617+5.38</f>
        <v>622.38</v>
      </c>
      <c r="G55" s="3">
        <f t="shared" si="5"/>
        <v>2105.4500000000003</v>
      </c>
      <c r="H55" s="99">
        <v>724.16</v>
      </c>
      <c r="I55" s="146">
        <f t="shared" si="6"/>
        <v>1836.67</v>
      </c>
      <c r="J55" s="106">
        <v>995.39</v>
      </c>
      <c r="K55" s="2">
        <v>491.34</v>
      </c>
      <c r="L55" s="2">
        <v>624.20000000000005</v>
      </c>
      <c r="M55" s="3">
        <f t="shared" si="7"/>
        <v>2110.9300000000003</v>
      </c>
      <c r="N55" s="99">
        <v>725.95</v>
      </c>
      <c r="O55" s="100">
        <f t="shared" si="8"/>
        <v>1841.49</v>
      </c>
      <c r="P55" s="114">
        <f t="shared" si="9"/>
        <v>28976.440000000006</v>
      </c>
      <c r="Q55" s="88"/>
    </row>
    <row r="56" spans="1:17" ht="15.75" thickBot="1">
      <c r="A56" s="29" t="s">
        <v>6</v>
      </c>
      <c r="B56" s="7">
        <v>20</v>
      </c>
      <c r="C56" s="145"/>
      <c r="D56" s="108">
        <v>992.94</v>
      </c>
      <c r="E56" s="8">
        <v>455.27825000000001</v>
      </c>
      <c r="F56" s="8">
        <f>559.81+5.38</f>
        <v>565.18999999999994</v>
      </c>
      <c r="G56" s="9">
        <f t="shared" si="5"/>
        <v>2013.40825</v>
      </c>
      <c r="H56" s="99">
        <v>724.16</v>
      </c>
      <c r="I56" s="147">
        <f t="shared" si="6"/>
        <v>1744.6282499999998</v>
      </c>
      <c r="J56" s="108">
        <v>995.39</v>
      </c>
      <c r="K56" s="8">
        <v>456.41</v>
      </c>
      <c r="L56" s="8">
        <v>566.57000000000005</v>
      </c>
      <c r="M56" s="9">
        <f t="shared" si="7"/>
        <v>2018.37</v>
      </c>
      <c r="N56" s="102">
        <v>725.95</v>
      </c>
      <c r="O56" s="148">
        <f t="shared" si="8"/>
        <v>1748.9300000000003</v>
      </c>
      <c r="P56" s="114">
        <f t="shared" si="9"/>
        <v>27684.227749999998</v>
      </c>
      <c r="Q56" s="88"/>
    </row>
    <row r="58" spans="1:17" s="22" customFormat="1"/>
    <row r="60" spans="1:17">
      <c r="A60" s="24" t="s">
        <v>18</v>
      </c>
      <c r="B60" s="24"/>
      <c r="C60" s="24"/>
      <c r="D60" s="24"/>
      <c r="E60" s="24"/>
      <c r="F60" s="24"/>
      <c r="G60" s="24"/>
      <c r="H60" s="24"/>
      <c r="I60" s="24"/>
      <c r="J60" s="24"/>
    </row>
    <row r="62" spans="1:17">
      <c r="A62" t="s">
        <v>0</v>
      </c>
    </row>
    <row r="64" spans="1:17">
      <c r="A64" t="s">
        <v>1</v>
      </c>
    </row>
    <row r="65" spans="1:19" s="22" customFormat="1" ht="15.75" thickBot="1"/>
    <row r="66" spans="1:19" ht="15.75" thickBot="1">
      <c r="D66" s="489" t="s">
        <v>289</v>
      </c>
      <c r="E66" s="490"/>
      <c r="F66" s="490"/>
      <c r="G66" s="490"/>
      <c r="H66" s="490"/>
      <c r="I66" s="715"/>
      <c r="J66" s="491" t="s">
        <v>288</v>
      </c>
      <c r="K66" s="492"/>
      <c r="L66" s="492"/>
      <c r="M66" s="492"/>
      <c r="N66" s="492"/>
      <c r="O66" s="493"/>
    </row>
    <row r="67" spans="1:19" ht="30">
      <c r="A67" s="76" t="s">
        <v>11</v>
      </c>
      <c r="B67" s="77" t="s">
        <v>3</v>
      </c>
      <c r="C67" s="111" t="s">
        <v>4</v>
      </c>
      <c r="D67" s="76" t="s">
        <v>7</v>
      </c>
      <c r="E67" s="78" t="s">
        <v>8</v>
      </c>
      <c r="F67" s="78" t="s">
        <v>9</v>
      </c>
      <c r="G67" s="78" t="s">
        <v>12</v>
      </c>
      <c r="H67" s="78" t="s">
        <v>13</v>
      </c>
      <c r="I67" s="79" t="s">
        <v>14</v>
      </c>
      <c r="J67" s="76" t="s">
        <v>7</v>
      </c>
      <c r="K67" s="78" t="s">
        <v>8</v>
      </c>
      <c r="L67" s="78" t="s">
        <v>9</v>
      </c>
      <c r="M67" s="78" t="s">
        <v>12</v>
      </c>
      <c r="N67" s="78" t="s">
        <v>13</v>
      </c>
      <c r="O67" s="79" t="s">
        <v>14</v>
      </c>
      <c r="P67" s="117" t="s">
        <v>15</v>
      </c>
    </row>
    <row r="68" spans="1:19" s="22" customFormat="1">
      <c r="A68" s="35" t="s">
        <v>19</v>
      </c>
      <c r="B68" s="21">
        <v>22</v>
      </c>
      <c r="C68" s="149">
        <v>4</v>
      </c>
      <c r="D68" s="127">
        <v>745.52764999999999</v>
      </c>
      <c r="E68" s="23">
        <v>527.9</v>
      </c>
      <c r="F68" s="23">
        <f>2454.82+5.38</f>
        <v>2460.2000000000003</v>
      </c>
      <c r="G68" s="188">
        <f>SUM(D68:F68)</f>
        <v>3733.6276500000004</v>
      </c>
      <c r="H68" s="193">
        <v>644.35</v>
      </c>
      <c r="I68" s="146">
        <f>H68+E68+F68</f>
        <v>3632.4500000000003</v>
      </c>
      <c r="J68" s="127">
        <v>747.37</v>
      </c>
      <c r="K68" s="23">
        <v>529.21</v>
      </c>
      <c r="L68" s="23">
        <v>2466.2399999999998</v>
      </c>
      <c r="M68" s="188">
        <f>SUM(J68:L68)</f>
        <v>3742.8199999999997</v>
      </c>
      <c r="N68" s="193">
        <v>645.94000000000005</v>
      </c>
      <c r="O68" s="146">
        <f>N68+K68+L68</f>
        <v>3641.39</v>
      </c>
      <c r="P68" s="192">
        <f>(G68*6)+I68+(M68*6)+O68</f>
        <v>52132.525900000001</v>
      </c>
      <c r="Q68" s="88"/>
    </row>
    <row r="69" spans="1:19">
      <c r="A69" s="91" t="s">
        <v>19</v>
      </c>
      <c r="B69" s="1">
        <v>22</v>
      </c>
      <c r="C69" s="105">
        <v>3</v>
      </c>
      <c r="D69" s="127">
        <v>745.52764999999999</v>
      </c>
      <c r="E69" s="23">
        <v>527.9</v>
      </c>
      <c r="F69" s="23">
        <f>869.39+5.38</f>
        <v>874.77</v>
      </c>
      <c r="G69" s="188">
        <f t="shared" ref="G69:G78" si="10">D69+E69+F69</f>
        <v>2148.1976500000001</v>
      </c>
      <c r="H69" s="193">
        <v>644.35</v>
      </c>
      <c r="I69" s="146">
        <f t="shared" ref="I69:I78" si="11">(H69+E69+F69)</f>
        <v>2047.02</v>
      </c>
      <c r="J69" s="127">
        <v>747.37</v>
      </c>
      <c r="K69" s="23">
        <v>529.21</v>
      </c>
      <c r="L69" s="23">
        <v>876.91</v>
      </c>
      <c r="M69" s="188">
        <f t="shared" ref="M69:M78" si="12">J69+K69+L69</f>
        <v>2153.4899999999998</v>
      </c>
      <c r="N69" s="193">
        <v>645.94000000000005</v>
      </c>
      <c r="O69" s="146">
        <f t="shared" ref="O69:O78" si="13">(N69+K69+L69)</f>
        <v>2052.06</v>
      </c>
      <c r="P69" s="192">
        <f t="shared" ref="P69:P78" si="14">(G69*6)+I69+(M69*6)+O69</f>
        <v>29909.205900000001</v>
      </c>
      <c r="Q69" s="88"/>
      <c r="R69" s="20"/>
    </row>
    <row r="70" spans="1:19">
      <c r="A70" s="91" t="s">
        <v>19</v>
      </c>
      <c r="B70" s="1">
        <v>22</v>
      </c>
      <c r="C70" s="105">
        <v>2</v>
      </c>
      <c r="D70" s="127">
        <v>745.52764999999999</v>
      </c>
      <c r="E70" s="23">
        <v>527.9</v>
      </c>
      <c r="F70" s="23">
        <f>726.06+5.38</f>
        <v>731.43999999999994</v>
      </c>
      <c r="G70" s="188">
        <f t="shared" si="10"/>
        <v>2004.8676500000001</v>
      </c>
      <c r="H70" s="193">
        <v>644.35</v>
      </c>
      <c r="I70" s="146">
        <f t="shared" si="11"/>
        <v>1903.69</v>
      </c>
      <c r="J70" s="127">
        <v>747.37</v>
      </c>
      <c r="K70" s="23">
        <v>529.21</v>
      </c>
      <c r="L70" s="23">
        <v>733.23</v>
      </c>
      <c r="M70" s="188">
        <f t="shared" si="12"/>
        <v>2009.81</v>
      </c>
      <c r="N70" s="193">
        <v>645.94000000000005</v>
      </c>
      <c r="O70" s="146">
        <f t="shared" si="13"/>
        <v>1908.38</v>
      </c>
      <c r="P70" s="192">
        <f t="shared" si="14"/>
        <v>27900.135900000005</v>
      </c>
      <c r="Q70" s="88"/>
      <c r="R70" s="20"/>
    </row>
    <row r="71" spans="1:19">
      <c r="A71" s="91" t="s">
        <v>19</v>
      </c>
      <c r="B71" s="1">
        <v>22</v>
      </c>
      <c r="C71" s="144" t="s">
        <v>16</v>
      </c>
      <c r="D71" s="127">
        <v>745.52764999999999</v>
      </c>
      <c r="E71" s="23">
        <v>527.9</v>
      </c>
      <c r="F71" s="23">
        <f>678.16+5.38</f>
        <v>683.54</v>
      </c>
      <c r="G71" s="188">
        <f t="shared" si="10"/>
        <v>1956.96765</v>
      </c>
      <c r="H71" s="193">
        <v>644.35</v>
      </c>
      <c r="I71" s="146">
        <f t="shared" si="11"/>
        <v>1855.79</v>
      </c>
      <c r="J71" s="127">
        <v>747.37</v>
      </c>
      <c r="K71" s="23">
        <v>529.21</v>
      </c>
      <c r="L71" s="23">
        <v>685.21</v>
      </c>
      <c r="M71" s="188">
        <f t="shared" si="12"/>
        <v>1961.79</v>
      </c>
      <c r="N71" s="193">
        <v>645.94000000000005</v>
      </c>
      <c r="O71" s="146">
        <f t="shared" si="13"/>
        <v>1860.3600000000001</v>
      </c>
      <c r="P71" s="192">
        <f t="shared" si="14"/>
        <v>27228.695899999999</v>
      </c>
      <c r="Q71" s="88"/>
      <c r="R71" s="20"/>
    </row>
    <row r="72" spans="1:19">
      <c r="A72" s="91" t="s">
        <v>19</v>
      </c>
      <c r="B72" s="1">
        <v>22</v>
      </c>
      <c r="C72" s="144">
        <v>1</v>
      </c>
      <c r="D72" s="127">
        <v>745.52764999999999</v>
      </c>
      <c r="E72" s="23">
        <v>527.9</v>
      </c>
      <c r="F72" s="23">
        <f>586.46+5.38</f>
        <v>591.84</v>
      </c>
      <c r="G72" s="188">
        <f t="shared" si="10"/>
        <v>1865.2676500000002</v>
      </c>
      <c r="H72" s="193">
        <v>644.35</v>
      </c>
      <c r="I72" s="146">
        <f t="shared" si="11"/>
        <v>1764.0900000000001</v>
      </c>
      <c r="J72" s="127">
        <v>747.37</v>
      </c>
      <c r="K72" s="23">
        <v>529.21</v>
      </c>
      <c r="L72" s="23">
        <v>593.28</v>
      </c>
      <c r="M72" s="188">
        <f t="shared" si="12"/>
        <v>1869.86</v>
      </c>
      <c r="N72" s="193">
        <v>645.94000000000005</v>
      </c>
      <c r="O72" s="146">
        <f t="shared" si="13"/>
        <v>1768.43</v>
      </c>
      <c r="P72" s="192">
        <f t="shared" si="14"/>
        <v>25943.285900000003</v>
      </c>
      <c r="Q72" s="88"/>
      <c r="R72" s="93"/>
      <c r="S72" s="10"/>
    </row>
    <row r="73" spans="1:19">
      <c r="A73" s="91" t="s">
        <v>19</v>
      </c>
      <c r="B73" s="1">
        <v>21</v>
      </c>
      <c r="C73" s="144" t="s">
        <v>16</v>
      </c>
      <c r="D73" s="127">
        <v>745.52764999999999</v>
      </c>
      <c r="E73" s="23">
        <v>490.13</v>
      </c>
      <c r="F73" s="23">
        <f>625.72+5.38</f>
        <v>631.1</v>
      </c>
      <c r="G73" s="188">
        <f t="shared" si="10"/>
        <v>1866.75765</v>
      </c>
      <c r="H73" s="193">
        <v>644.35</v>
      </c>
      <c r="I73" s="146">
        <f t="shared" si="11"/>
        <v>1765.58</v>
      </c>
      <c r="J73" s="127">
        <v>747.37</v>
      </c>
      <c r="K73" s="23">
        <v>491.34</v>
      </c>
      <c r="L73" s="23">
        <v>632.64</v>
      </c>
      <c r="M73" s="188">
        <f t="shared" si="12"/>
        <v>1871.35</v>
      </c>
      <c r="N73" s="193">
        <v>645.94000000000005</v>
      </c>
      <c r="O73" s="146">
        <f t="shared" si="13"/>
        <v>1769.92</v>
      </c>
      <c r="P73" s="192">
        <f t="shared" si="14"/>
        <v>25964.145899999996</v>
      </c>
      <c r="Q73" s="88"/>
      <c r="R73" s="93"/>
      <c r="S73" s="10"/>
    </row>
    <row r="74" spans="1:19">
      <c r="A74" s="91" t="s">
        <v>19</v>
      </c>
      <c r="B74" s="1">
        <v>21</v>
      </c>
      <c r="C74" s="144">
        <v>1</v>
      </c>
      <c r="D74" s="127">
        <v>745.52764999999999</v>
      </c>
      <c r="E74" s="23">
        <v>490.13</v>
      </c>
      <c r="F74" s="23">
        <f>534+5.38</f>
        <v>539.38</v>
      </c>
      <c r="G74" s="188">
        <f t="shared" si="10"/>
        <v>1775.0376500000002</v>
      </c>
      <c r="H74" s="193">
        <v>644.35</v>
      </c>
      <c r="I74" s="146">
        <f t="shared" si="11"/>
        <v>1673.8600000000001</v>
      </c>
      <c r="J74" s="127">
        <v>747.37</v>
      </c>
      <c r="K74" s="23">
        <v>491.34</v>
      </c>
      <c r="L74" s="23">
        <v>540.70000000000005</v>
      </c>
      <c r="M74" s="188">
        <f t="shared" si="12"/>
        <v>1779.41</v>
      </c>
      <c r="N74" s="193">
        <v>645.94000000000005</v>
      </c>
      <c r="O74" s="146">
        <f t="shared" si="13"/>
        <v>1677.98</v>
      </c>
      <c r="P74" s="192">
        <f t="shared" si="14"/>
        <v>24678.525900000004</v>
      </c>
      <c r="Q74" s="88"/>
      <c r="R74" s="93"/>
      <c r="S74" s="11"/>
    </row>
    <row r="75" spans="1:19">
      <c r="A75" s="91" t="s">
        <v>19</v>
      </c>
      <c r="B75" s="1">
        <v>18</v>
      </c>
      <c r="C75" s="144" t="s">
        <v>16</v>
      </c>
      <c r="D75" s="127">
        <v>745.52764999999999</v>
      </c>
      <c r="E75" s="23">
        <v>408.78</v>
      </c>
      <c r="F75" s="23">
        <f>602.55+5.38</f>
        <v>607.92999999999995</v>
      </c>
      <c r="G75" s="188">
        <f t="shared" si="10"/>
        <v>1762.23765</v>
      </c>
      <c r="H75" s="193">
        <v>644.35</v>
      </c>
      <c r="I75" s="146">
        <f t="shared" si="11"/>
        <v>1661.06</v>
      </c>
      <c r="J75" s="127">
        <v>747.37</v>
      </c>
      <c r="K75" s="23">
        <v>409.79</v>
      </c>
      <c r="L75" s="23">
        <v>609.41999999999996</v>
      </c>
      <c r="M75" s="188">
        <f t="shared" si="12"/>
        <v>1766.58</v>
      </c>
      <c r="N75" s="193">
        <v>645.94000000000005</v>
      </c>
      <c r="O75" s="146">
        <f t="shared" si="13"/>
        <v>1665.15</v>
      </c>
      <c r="P75" s="192">
        <f t="shared" si="14"/>
        <v>24499.115900000001</v>
      </c>
      <c r="Q75" s="88"/>
      <c r="R75" s="93"/>
      <c r="S75" s="10"/>
    </row>
    <row r="76" spans="1:19">
      <c r="A76" s="91" t="s">
        <v>19</v>
      </c>
      <c r="B76" s="1">
        <v>18</v>
      </c>
      <c r="C76" s="144">
        <v>1</v>
      </c>
      <c r="D76" s="127">
        <v>745.52764999999999</v>
      </c>
      <c r="E76" s="23">
        <v>408.78</v>
      </c>
      <c r="F76" s="23">
        <f>510.84+5.38</f>
        <v>516.22</v>
      </c>
      <c r="G76" s="188">
        <f t="shared" si="10"/>
        <v>1670.52765</v>
      </c>
      <c r="H76" s="193">
        <v>644.35</v>
      </c>
      <c r="I76" s="146">
        <f t="shared" si="11"/>
        <v>1569.3500000000001</v>
      </c>
      <c r="J76" s="127">
        <v>747.37</v>
      </c>
      <c r="K76" s="23">
        <v>409.79</v>
      </c>
      <c r="L76" s="23">
        <v>517.48</v>
      </c>
      <c r="M76" s="188">
        <f t="shared" si="12"/>
        <v>1674.64</v>
      </c>
      <c r="N76" s="193">
        <v>645.94000000000005</v>
      </c>
      <c r="O76" s="146">
        <f t="shared" si="13"/>
        <v>1573.21</v>
      </c>
      <c r="P76" s="192">
        <f t="shared" si="14"/>
        <v>23213.565900000001</v>
      </c>
      <c r="Q76" s="88"/>
      <c r="R76" s="93"/>
      <c r="S76" s="10"/>
    </row>
    <row r="77" spans="1:19">
      <c r="A77" s="91" t="s">
        <v>19</v>
      </c>
      <c r="B77" s="1">
        <v>16</v>
      </c>
      <c r="C77" s="144" t="s">
        <v>16</v>
      </c>
      <c r="D77" s="127">
        <v>745.52764999999999</v>
      </c>
      <c r="E77" s="23">
        <v>362.33</v>
      </c>
      <c r="F77" s="23">
        <f>546.08+5.38</f>
        <v>551.46</v>
      </c>
      <c r="G77" s="188">
        <f t="shared" si="10"/>
        <v>1659.31765</v>
      </c>
      <c r="H77" s="193">
        <v>644.35</v>
      </c>
      <c r="I77" s="146">
        <f t="shared" si="11"/>
        <v>1558.14</v>
      </c>
      <c r="J77" s="127">
        <v>747.37</v>
      </c>
      <c r="K77" s="23">
        <v>363.23</v>
      </c>
      <c r="L77" s="23">
        <v>552.80999999999995</v>
      </c>
      <c r="M77" s="188">
        <f t="shared" si="12"/>
        <v>1663.4099999999999</v>
      </c>
      <c r="N77" s="193">
        <v>645.94000000000005</v>
      </c>
      <c r="O77" s="146">
        <f t="shared" si="13"/>
        <v>1561.98</v>
      </c>
      <c r="P77" s="192">
        <f t="shared" si="14"/>
        <v>23056.485899999996</v>
      </c>
      <c r="Q77" s="88"/>
      <c r="R77" s="93"/>
      <c r="S77" s="10"/>
    </row>
    <row r="78" spans="1:19" ht="15.75" thickBot="1">
      <c r="A78" s="92" t="s">
        <v>19</v>
      </c>
      <c r="B78" s="7">
        <v>16</v>
      </c>
      <c r="C78" s="150">
        <v>1</v>
      </c>
      <c r="D78" s="127">
        <v>745.52764999999999</v>
      </c>
      <c r="E78" s="23">
        <v>362.33</v>
      </c>
      <c r="F78" s="23">
        <f>454.37+5.38</f>
        <v>459.75</v>
      </c>
      <c r="G78" s="188">
        <f t="shared" si="10"/>
        <v>1567.6076499999999</v>
      </c>
      <c r="H78" s="193">
        <v>644.35</v>
      </c>
      <c r="I78" s="146">
        <f t="shared" si="11"/>
        <v>1466.43</v>
      </c>
      <c r="J78" s="127">
        <v>747.37</v>
      </c>
      <c r="K78" s="23">
        <v>363.23</v>
      </c>
      <c r="L78" s="23">
        <v>460.87</v>
      </c>
      <c r="M78" s="188">
        <f t="shared" si="12"/>
        <v>1571.4699999999998</v>
      </c>
      <c r="N78" s="193">
        <v>645.94000000000005</v>
      </c>
      <c r="O78" s="146">
        <f t="shared" si="13"/>
        <v>1470.04</v>
      </c>
      <c r="P78" s="192">
        <f t="shared" si="14"/>
        <v>21770.9359</v>
      </c>
      <c r="Q78" s="88"/>
      <c r="R78" s="20"/>
    </row>
    <row r="79" spans="1:19" s="10" customFormat="1" ht="15.75" thickBot="1">
      <c r="A79" s="184" t="s">
        <v>19</v>
      </c>
      <c r="B79" s="7">
        <v>14</v>
      </c>
      <c r="C79" s="150">
        <v>1</v>
      </c>
      <c r="D79" s="189">
        <v>745.52764999999999</v>
      </c>
      <c r="E79" s="190">
        <v>315.82740000000001</v>
      </c>
      <c r="F79" s="190">
        <v>457.08</v>
      </c>
      <c r="G79" s="191">
        <f>D79+E79+F79</f>
        <v>1518.43505</v>
      </c>
      <c r="H79" s="194">
        <v>644.35</v>
      </c>
      <c r="I79" s="147">
        <f>H79+F79+E79</f>
        <v>1417.2574</v>
      </c>
      <c r="J79" s="189">
        <v>747.37</v>
      </c>
      <c r="K79" s="190">
        <v>316.61</v>
      </c>
      <c r="L79" s="190">
        <v>458.19</v>
      </c>
      <c r="M79" s="191">
        <f t="shared" ref="M79" si="15">J79+K79+L79</f>
        <v>1522.17</v>
      </c>
      <c r="N79" s="194">
        <v>645.94000000000005</v>
      </c>
      <c r="O79" s="147">
        <f>(N79+K79+L79)</f>
        <v>1420.74</v>
      </c>
      <c r="P79" s="118">
        <f>(G79*6)+I79+(M79*6)+O79</f>
        <v>21081.627700000001</v>
      </c>
    </row>
    <row r="80" spans="1:19" s="10" customFormat="1" ht="15.75" thickBot="1">
      <c r="A80" s="183"/>
      <c r="C80" s="16"/>
    </row>
    <row r="81" spans="1:17" s="10" customFormat="1" ht="15.75" thickBot="1">
      <c r="D81" s="489" t="s">
        <v>289</v>
      </c>
      <c r="E81" s="490"/>
      <c r="F81" s="490"/>
      <c r="G81" s="490"/>
      <c r="H81" s="490"/>
      <c r="I81" s="715"/>
      <c r="J81" s="491" t="s">
        <v>288</v>
      </c>
      <c r="K81" s="492"/>
      <c r="L81" s="492"/>
      <c r="M81" s="492"/>
      <c r="N81" s="492"/>
      <c r="O81" s="493"/>
    </row>
    <row r="82" spans="1:17" s="10" customFormat="1" ht="30">
      <c r="A82" s="76" t="s">
        <v>11</v>
      </c>
      <c r="B82" s="77" t="s">
        <v>3</v>
      </c>
      <c r="C82" s="111" t="s">
        <v>4</v>
      </c>
      <c r="D82" s="76" t="s">
        <v>7</v>
      </c>
      <c r="E82" s="78" t="s">
        <v>8</v>
      </c>
      <c r="F82" s="78" t="s">
        <v>9</v>
      </c>
      <c r="G82" s="78" t="s">
        <v>12</v>
      </c>
      <c r="H82" s="78" t="s">
        <v>13</v>
      </c>
      <c r="I82" s="79" t="s">
        <v>14</v>
      </c>
      <c r="J82" s="76" t="s">
        <v>7</v>
      </c>
      <c r="K82" s="78" t="s">
        <v>8</v>
      </c>
      <c r="L82" s="78" t="s">
        <v>9</v>
      </c>
      <c r="M82" s="78" t="s">
        <v>12</v>
      </c>
      <c r="N82" s="78" t="s">
        <v>13</v>
      </c>
      <c r="O82" s="79" t="s">
        <v>14</v>
      </c>
      <c r="P82" s="113" t="s">
        <v>15</v>
      </c>
    </row>
    <row r="83" spans="1:17" s="10" customFormat="1">
      <c r="A83" s="91" t="s">
        <v>32</v>
      </c>
      <c r="B83" s="1">
        <v>18</v>
      </c>
      <c r="C83" s="105"/>
      <c r="D83" s="106">
        <v>620.47964999999999</v>
      </c>
      <c r="E83" s="2">
        <v>408.78</v>
      </c>
      <c r="F83" s="2">
        <f>501.04+5.38</f>
        <v>506.42</v>
      </c>
      <c r="G83" s="3">
        <f>D83+E83+F83</f>
        <v>1535.67965</v>
      </c>
      <c r="H83" s="99">
        <v>614.82000000000005</v>
      </c>
      <c r="I83" s="146">
        <f>(H83+E83+F83)</f>
        <v>1530.02</v>
      </c>
      <c r="J83" s="106">
        <v>622.007925</v>
      </c>
      <c r="K83" s="2">
        <v>409.79</v>
      </c>
      <c r="L83" s="2">
        <v>507.66</v>
      </c>
      <c r="M83" s="3">
        <f>J83+K83+L83</f>
        <v>1539.4579250000002</v>
      </c>
      <c r="N83" s="99">
        <v>616.34</v>
      </c>
      <c r="O83" s="100">
        <f>(N83+K83+L83)</f>
        <v>1533.7900000000002</v>
      </c>
      <c r="P83" s="114">
        <f>(G83*6)+I83+(M83*6)+O83</f>
        <v>21514.635450000002</v>
      </c>
      <c r="Q83" s="88"/>
    </row>
    <row r="84" spans="1:17" s="10" customFormat="1">
      <c r="A84" s="91" t="s">
        <v>32</v>
      </c>
      <c r="B84" s="1">
        <v>16</v>
      </c>
      <c r="C84" s="144" t="s">
        <v>16</v>
      </c>
      <c r="D84" s="106">
        <v>620.47964999999999</v>
      </c>
      <c r="E84" s="2">
        <v>362.33</v>
      </c>
      <c r="F84" s="2">
        <f>585.9+5.38</f>
        <v>591.28</v>
      </c>
      <c r="G84" s="3">
        <f>D84+E84+F84</f>
        <v>1574.0896499999999</v>
      </c>
      <c r="H84" s="99">
        <v>614.82000000000005</v>
      </c>
      <c r="I84" s="146">
        <f>(H84+E84+F84)</f>
        <v>1568.43</v>
      </c>
      <c r="J84" s="106">
        <v>622.007925</v>
      </c>
      <c r="K84" s="2">
        <v>363.23</v>
      </c>
      <c r="L84" s="2">
        <v>592.72</v>
      </c>
      <c r="M84" s="3">
        <f>J84+K84+L84</f>
        <v>1577.9579250000002</v>
      </c>
      <c r="N84" s="99">
        <v>616.34</v>
      </c>
      <c r="O84" s="100">
        <f>(N84+K84+L84)</f>
        <v>1572.29</v>
      </c>
      <c r="P84" s="114">
        <f t="shared" ref="P84:P86" si="16">(G84*6)+I84+(M84*6)+O84</f>
        <v>22053.005450000001</v>
      </c>
      <c r="Q84" s="88"/>
    </row>
    <row r="85" spans="1:17" s="10" customFormat="1" ht="15.75" thickBot="1">
      <c r="A85" s="91" t="s">
        <v>32</v>
      </c>
      <c r="B85" s="1">
        <v>16</v>
      </c>
      <c r="C85" s="144">
        <v>1</v>
      </c>
      <c r="D85" s="106">
        <v>620.47964999999999</v>
      </c>
      <c r="E85" s="8">
        <v>362.33</v>
      </c>
      <c r="F85" s="2">
        <f>494.19+5.38</f>
        <v>499.57</v>
      </c>
      <c r="G85" s="3">
        <f>D85+E85+F85</f>
        <v>1482.3796499999999</v>
      </c>
      <c r="H85" s="99">
        <v>614.82000000000005</v>
      </c>
      <c r="I85" s="146">
        <f>(H85+E85+F85)</f>
        <v>1476.72</v>
      </c>
      <c r="J85" s="106">
        <v>622.007925</v>
      </c>
      <c r="K85" s="2">
        <v>363.23</v>
      </c>
      <c r="L85" s="2">
        <v>500.79</v>
      </c>
      <c r="M85" s="3">
        <f>J85+K85+L85</f>
        <v>1486.0279250000001</v>
      </c>
      <c r="N85" s="99">
        <v>616.34</v>
      </c>
      <c r="O85" s="100">
        <f>(N85+K85+L85)</f>
        <v>1480.3600000000001</v>
      </c>
      <c r="P85" s="114">
        <f t="shared" si="16"/>
        <v>20767.525450000001</v>
      </c>
      <c r="Q85" s="88"/>
    </row>
    <row r="86" spans="1:17" s="10" customFormat="1" ht="15.75" thickBot="1">
      <c r="A86" s="92" t="s">
        <v>32</v>
      </c>
      <c r="B86" s="7">
        <v>14</v>
      </c>
      <c r="C86" s="150"/>
      <c r="D86" s="108">
        <v>620.47964999999999</v>
      </c>
      <c r="E86" s="8">
        <v>315.83</v>
      </c>
      <c r="F86" s="8">
        <f>487.38+5.38</f>
        <v>492.76</v>
      </c>
      <c r="G86" s="9">
        <f>D86+E86+F86</f>
        <v>1429.0696499999999</v>
      </c>
      <c r="H86" s="99">
        <v>614.82000000000005</v>
      </c>
      <c r="I86" s="110">
        <f>(H86+E86+F86)</f>
        <v>1423.41</v>
      </c>
      <c r="J86" s="108">
        <v>622.007925</v>
      </c>
      <c r="K86" s="8">
        <v>316.6053</v>
      </c>
      <c r="L86" s="8">
        <v>493.96</v>
      </c>
      <c r="M86" s="9">
        <f>J86+K86+L86</f>
        <v>1432.5732250000001</v>
      </c>
      <c r="N86" s="102">
        <v>616.34</v>
      </c>
      <c r="O86" s="101">
        <f>(N86+K86+L86)</f>
        <v>1426.9053000000001</v>
      </c>
      <c r="P86" s="114">
        <f t="shared" si="16"/>
        <v>20020.172549999999</v>
      </c>
      <c r="Q86" s="88"/>
    </row>
    <row r="87" spans="1:17" s="10" customFormat="1">
      <c r="C87" s="16"/>
      <c r="D87" s="12"/>
      <c r="E87" s="12"/>
      <c r="F87" s="12"/>
      <c r="G87" s="13"/>
      <c r="H87" s="12"/>
      <c r="I87" s="12"/>
      <c r="J87" s="13"/>
    </row>
    <row r="88" spans="1:17" s="10" customFormat="1">
      <c r="C88" s="16"/>
      <c r="D88" s="12"/>
      <c r="E88" s="12"/>
      <c r="F88" s="12"/>
      <c r="G88" s="13"/>
      <c r="H88" s="12"/>
      <c r="I88" s="12"/>
      <c r="J88" s="13"/>
    </row>
    <row r="89" spans="1:17">
      <c r="A89" s="15"/>
    </row>
    <row r="90" spans="1:17" ht="18.75">
      <c r="A90" s="17" t="s">
        <v>298</v>
      </c>
      <c r="B90" s="18"/>
      <c r="C90" s="18"/>
      <c r="D90" s="18"/>
    </row>
    <row r="91" spans="1:17">
      <c r="A91" s="15"/>
    </row>
    <row r="92" spans="1:17">
      <c r="A92" s="10" t="s">
        <v>0</v>
      </c>
      <c r="B92" s="10"/>
      <c r="C92" s="10"/>
      <c r="D92" s="10"/>
    </row>
    <row r="93" spans="1:17">
      <c r="A93" s="10"/>
      <c r="B93" s="10"/>
      <c r="C93" s="10"/>
      <c r="D93" s="10"/>
    </row>
    <row r="94" spans="1:17">
      <c r="A94" s="15"/>
    </row>
    <row r="95" spans="1:17" ht="15.75" thickBot="1">
      <c r="A95" t="s">
        <v>20</v>
      </c>
    </row>
    <row r="96" spans="1:17" ht="15.75" thickBot="1">
      <c r="A96" s="15"/>
      <c r="C96" s="135" t="s">
        <v>291</v>
      </c>
      <c r="D96" s="134" t="s">
        <v>292</v>
      </c>
    </row>
    <row r="97" spans="1:10">
      <c r="B97" s="56" t="s">
        <v>21</v>
      </c>
      <c r="C97" s="159">
        <v>44.18</v>
      </c>
      <c r="D97" s="160">
        <f>44.29</f>
        <v>44.29</v>
      </c>
      <c r="E97" s="10"/>
      <c r="F97" s="10"/>
    </row>
    <row r="98" spans="1:10">
      <c r="B98" s="52" t="s">
        <v>22</v>
      </c>
      <c r="C98" s="161">
        <v>36.020000000000003</v>
      </c>
      <c r="D98" s="162">
        <f>36.11</f>
        <v>36.11</v>
      </c>
      <c r="E98" s="10"/>
      <c r="F98" s="10"/>
      <c r="J98" s="58"/>
    </row>
    <row r="99" spans="1:10">
      <c r="B99" s="52" t="s">
        <v>23</v>
      </c>
      <c r="C99" s="161">
        <v>27.26</v>
      </c>
      <c r="D99" s="162">
        <f>27.33</f>
        <v>27.33</v>
      </c>
      <c r="E99" s="10"/>
      <c r="F99" s="10"/>
    </row>
    <row r="100" spans="1:10" ht="15.75" thickBot="1">
      <c r="B100" s="57" t="s">
        <v>24</v>
      </c>
      <c r="C100" s="163">
        <v>18.55</v>
      </c>
      <c r="D100" s="164">
        <f>18.6</f>
        <v>18.600000000000001</v>
      </c>
      <c r="E100" s="10"/>
      <c r="F100" s="10"/>
    </row>
    <row r="101" spans="1:10">
      <c r="A101" s="15"/>
      <c r="B101" s="15"/>
    </row>
    <row r="102" spans="1:10" ht="15.75" thickBot="1">
      <c r="A102" t="s">
        <v>25</v>
      </c>
      <c r="B102" s="15"/>
    </row>
    <row r="103" spans="1:10" ht="15.75" thickBot="1">
      <c r="A103" s="15"/>
      <c r="B103" s="15"/>
      <c r="C103" s="135" t="s">
        <v>291</v>
      </c>
      <c r="D103" s="134" t="s">
        <v>292</v>
      </c>
    </row>
    <row r="104" spans="1:10">
      <c r="A104" s="15"/>
      <c r="B104" s="56" t="s">
        <v>21</v>
      </c>
      <c r="C104" s="165">
        <v>27.26</v>
      </c>
      <c r="D104" s="166">
        <v>27.33</v>
      </c>
    </row>
    <row r="105" spans="1:10">
      <c r="A105" s="15"/>
      <c r="B105" s="52" t="s">
        <v>22</v>
      </c>
      <c r="C105" s="167">
        <v>26.258050000000001</v>
      </c>
      <c r="D105" s="168">
        <v>26.33</v>
      </c>
    </row>
    <row r="106" spans="1:10">
      <c r="A106" s="15"/>
      <c r="B106" s="52" t="s">
        <v>23</v>
      </c>
      <c r="C106" s="167">
        <v>23.537850000000002</v>
      </c>
      <c r="D106" s="168">
        <f>23.6</f>
        <v>23.6</v>
      </c>
    </row>
    <row r="107" spans="1:10" ht="15.75" thickBot="1">
      <c r="A107" s="15"/>
      <c r="B107" s="57" t="s">
        <v>24</v>
      </c>
      <c r="C107" s="169">
        <v>18.37</v>
      </c>
      <c r="D107" s="170">
        <f>18.42</f>
        <v>18.420000000000002</v>
      </c>
    </row>
    <row r="108" spans="1:10" s="22" customFormat="1">
      <c r="A108" s="15"/>
      <c r="B108" s="10"/>
      <c r="C108" s="11"/>
    </row>
    <row r="109" spans="1:10" s="22" customFormat="1">
      <c r="A109" s="15"/>
      <c r="B109" s="10"/>
      <c r="C109" s="11"/>
    </row>
    <row r="110" spans="1:10" s="22" customFormat="1">
      <c r="B110" s="10"/>
      <c r="C110" s="11"/>
    </row>
    <row r="111" spans="1:10" s="22" customFormat="1" ht="18.75">
      <c r="A111" s="17" t="s">
        <v>299</v>
      </c>
    </row>
    <row r="112" spans="1:10" s="22" customFormat="1" ht="14.25" customHeight="1" thickBot="1">
      <c r="A112" s="17"/>
    </row>
    <row r="113" spans="1:16" s="22" customFormat="1" ht="15.75" thickBot="1">
      <c r="C113" s="720" t="s">
        <v>291</v>
      </c>
      <c r="D113" s="721"/>
      <c r="E113" s="722" t="s">
        <v>292</v>
      </c>
      <c r="F113" s="723"/>
    </row>
    <row r="114" spans="1:16" s="22" customFormat="1" ht="15.75" thickBot="1">
      <c r="B114" s="718" t="s">
        <v>62</v>
      </c>
      <c r="C114" s="719"/>
      <c r="D114" s="121" t="s">
        <v>63</v>
      </c>
      <c r="E114" s="120" t="s">
        <v>62</v>
      </c>
      <c r="F114" s="123" t="s">
        <v>63</v>
      </c>
    </row>
    <row r="115" spans="1:16" s="22" customFormat="1">
      <c r="B115" s="124" t="s">
        <v>21</v>
      </c>
      <c r="C115" s="119">
        <v>11.94655</v>
      </c>
      <c r="D115" s="122">
        <v>28.024149999999999</v>
      </c>
      <c r="E115" s="119">
        <f>11.98</f>
        <v>11.98</v>
      </c>
      <c r="F115" s="122">
        <f>28.09</f>
        <v>28.09</v>
      </c>
    </row>
    <row r="116" spans="1:16" s="22" customFormat="1">
      <c r="B116" s="75" t="s">
        <v>22</v>
      </c>
      <c r="C116" s="97">
        <v>10.698099999999998</v>
      </c>
      <c r="D116" s="94">
        <v>24.6036</v>
      </c>
      <c r="E116" s="97">
        <f>10.73</f>
        <v>10.73</v>
      </c>
      <c r="F116" s="94">
        <f>24.66</f>
        <v>24.66</v>
      </c>
    </row>
    <row r="117" spans="1:16" s="22" customFormat="1">
      <c r="B117" s="75" t="s">
        <v>23</v>
      </c>
      <c r="C117" s="97">
        <v>9.4395000000000007</v>
      </c>
      <c r="D117" s="94">
        <v>21.294699999999999</v>
      </c>
      <c r="E117" s="97">
        <f>9.46</f>
        <v>9.4600000000000009</v>
      </c>
      <c r="F117" s="94">
        <f>21.34</f>
        <v>21.34</v>
      </c>
    </row>
    <row r="118" spans="1:16" ht="15.75" thickBot="1">
      <c r="A118" s="22"/>
      <c r="B118" s="95" t="s">
        <v>24</v>
      </c>
      <c r="C118" s="98">
        <v>7.86625</v>
      </c>
      <c r="D118" s="96">
        <v>17.955350000000003</v>
      </c>
      <c r="E118" s="98">
        <f>7.89</f>
        <v>7.89</v>
      </c>
      <c r="F118" s="96">
        <f>18</f>
        <v>18</v>
      </c>
    </row>
    <row r="119" spans="1:16" s="22" customFormat="1">
      <c r="B119" s="36"/>
      <c r="C119" s="11"/>
      <c r="D119" s="11"/>
    </row>
    <row r="120" spans="1:16" s="22" customFormat="1">
      <c r="B120" s="36"/>
      <c r="C120" s="11"/>
      <c r="D120" s="11"/>
    </row>
    <row r="121" spans="1:16" s="22" customFormat="1">
      <c r="B121" s="36"/>
      <c r="C121" s="11"/>
      <c r="D121" s="11"/>
    </row>
    <row r="122" spans="1:16" ht="21">
      <c r="A122" s="523" t="s">
        <v>293</v>
      </c>
      <c r="B122" s="523"/>
      <c r="C122" s="523"/>
      <c r="D122" s="523"/>
      <c r="E122" s="523"/>
      <c r="F122" s="523"/>
      <c r="G122" s="523"/>
      <c r="H122" s="523"/>
      <c r="I122" s="523"/>
      <c r="J122" s="523"/>
      <c r="K122" s="523"/>
      <c r="L122" s="523"/>
      <c r="M122" s="523"/>
      <c r="N122" s="523"/>
      <c r="O122" s="523"/>
      <c r="P122" s="523"/>
    </row>
    <row r="123" spans="1:16" s="22" customFormat="1" ht="18.75">
      <c r="A123" s="17"/>
    </row>
    <row r="124" spans="1:16" s="22" customFormat="1">
      <c r="A124" s="24" t="s">
        <v>35</v>
      </c>
      <c r="B124" s="24"/>
      <c r="C124" s="24"/>
      <c r="D124" s="24"/>
      <c r="E124" s="24"/>
      <c r="F124" s="24"/>
      <c r="G124" s="24"/>
      <c r="H124" s="24"/>
      <c r="I124" s="24"/>
      <c r="J124" s="24"/>
    </row>
    <row r="125" spans="1:16">
      <c r="A125" s="15"/>
    </row>
    <row r="126" spans="1:16">
      <c r="A126" s="10"/>
      <c r="B126" s="10"/>
      <c r="C126" s="10"/>
      <c r="D126" s="10"/>
    </row>
    <row r="127" spans="1:16">
      <c r="A127" t="s">
        <v>31</v>
      </c>
    </row>
    <row r="128" spans="1:16" s="22" customFormat="1" ht="15.75" thickBot="1"/>
    <row r="129" spans="1:17" s="22" customFormat="1" ht="15.75" thickBot="1">
      <c r="B129" s="489" t="s">
        <v>289</v>
      </c>
      <c r="C129" s="490"/>
      <c r="D129" s="490"/>
      <c r="E129" s="490"/>
      <c r="F129" s="490"/>
      <c r="G129" s="490"/>
      <c r="H129" s="491" t="s">
        <v>302</v>
      </c>
      <c r="I129" s="492"/>
      <c r="J129" s="492"/>
      <c r="K129" s="492"/>
      <c r="L129" s="492"/>
      <c r="M129" s="493"/>
    </row>
    <row r="130" spans="1:17" s="22" customFormat="1" ht="30">
      <c r="A130" s="81" t="s">
        <v>3</v>
      </c>
      <c r="B130" s="81" t="s">
        <v>7</v>
      </c>
      <c r="C130" s="82" t="s">
        <v>34</v>
      </c>
      <c r="D130" s="82" t="s">
        <v>33</v>
      </c>
      <c r="E130" s="78" t="s">
        <v>300</v>
      </c>
      <c r="F130" s="81" t="s">
        <v>37</v>
      </c>
      <c r="G130" s="81" t="s">
        <v>14</v>
      </c>
      <c r="H130" s="81" t="s">
        <v>7</v>
      </c>
      <c r="I130" s="82" t="s">
        <v>34</v>
      </c>
      <c r="J130" s="82" t="s">
        <v>33</v>
      </c>
      <c r="K130" s="78" t="s">
        <v>300</v>
      </c>
      <c r="L130" s="81" t="s">
        <v>37</v>
      </c>
      <c r="M130" s="81" t="s">
        <v>14</v>
      </c>
      <c r="N130" s="173" t="s">
        <v>15</v>
      </c>
    </row>
    <row r="131" spans="1:17" s="22" customFormat="1">
      <c r="A131" s="26" t="s">
        <v>64</v>
      </c>
      <c r="B131" s="23">
        <v>2193.7093500000005</v>
      </c>
      <c r="C131" s="48">
        <v>5812.0016500000002</v>
      </c>
      <c r="D131" s="46">
        <v>15.448300000000001</v>
      </c>
      <c r="E131" s="39">
        <v>6.28</v>
      </c>
      <c r="F131" s="42">
        <f>B131+C131+D131+E131</f>
        <v>8027.4393000000009</v>
      </c>
      <c r="G131" s="49">
        <v>2193.7093500000001</v>
      </c>
      <c r="H131" s="23">
        <v>2199.1125750000006</v>
      </c>
      <c r="I131" s="48">
        <v>5826.3169250000001</v>
      </c>
      <c r="J131" s="39">
        <v>15.48635</v>
      </c>
      <c r="K131" s="39">
        <v>6.28</v>
      </c>
      <c r="L131" s="42">
        <f>H131+I131+J131+K131</f>
        <v>8047.1958500000001</v>
      </c>
      <c r="M131" s="49">
        <v>2199.1125750000001</v>
      </c>
      <c r="N131" s="176">
        <f>(F131*6)+G131+(L131*6)+M131</f>
        <v>100840.63282500001</v>
      </c>
    </row>
    <row r="132" spans="1:17" s="22" customFormat="1">
      <c r="A132" s="27" t="s">
        <v>66</v>
      </c>
      <c r="B132" s="23">
        <v>2193.7093500000001</v>
      </c>
      <c r="C132" s="48">
        <v>4212.6356999999998</v>
      </c>
      <c r="D132" s="48">
        <v>15.448300000000001</v>
      </c>
      <c r="E132" s="39">
        <v>6.28</v>
      </c>
      <c r="F132" s="42">
        <f>B132+C132+D132+E132</f>
        <v>6428.0733499999997</v>
      </c>
      <c r="G132" s="49">
        <v>2193.7093500000001</v>
      </c>
      <c r="H132" s="23">
        <v>2199.1125750000006</v>
      </c>
      <c r="I132" s="48">
        <v>4223.0116500000004</v>
      </c>
      <c r="J132" s="39">
        <v>15.48635</v>
      </c>
      <c r="K132" s="39">
        <v>6.28</v>
      </c>
      <c r="L132" s="42">
        <f>H132+I132+J132+K132</f>
        <v>6443.8905750000013</v>
      </c>
      <c r="M132" s="50">
        <v>2199.1125750000001</v>
      </c>
      <c r="N132" s="176">
        <f>(F132*6)+G132+(L132*6)+M132</f>
        <v>81624.605475000018</v>
      </c>
    </row>
    <row r="133" spans="1:17" s="22" customFormat="1"/>
    <row r="134" spans="1:17" ht="15.75" thickBo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56"/>
      <c r="P134" s="32"/>
      <c r="Q134" s="33"/>
    </row>
    <row r="135" spans="1:17" ht="15.75" thickBot="1">
      <c r="A135" s="15"/>
      <c r="B135" s="489" t="s">
        <v>289</v>
      </c>
      <c r="C135" s="490"/>
      <c r="D135" s="490"/>
      <c r="E135" s="490"/>
      <c r="F135" s="490"/>
      <c r="G135" s="715"/>
      <c r="H135" s="491" t="s">
        <v>302</v>
      </c>
      <c r="I135" s="492"/>
      <c r="J135" s="492"/>
      <c r="K135" s="492"/>
      <c r="L135" s="492"/>
      <c r="M135" s="493"/>
      <c r="N135" s="22"/>
      <c r="O135" s="156"/>
      <c r="P135" s="32"/>
      <c r="Q135" s="33"/>
    </row>
    <row r="136" spans="1:17" ht="30">
      <c r="A136" s="125" t="s">
        <v>3</v>
      </c>
      <c r="B136" s="76" t="s">
        <v>7</v>
      </c>
      <c r="C136" s="78" t="s">
        <v>34</v>
      </c>
      <c r="D136" s="78" t="s">
        <v>33</v>
      </c>
      <c r="E136" s="78" t="s">
        <v>300</v>
      </c>
      <c r="F136" s="77" t="s">
        <v>37</v>
      </c>
      <c r="G136" s="79" t="s">
        <v>14</v>
      </c>
      <c r="H136" s="76" t="s">
        <v>7</v>
      </c>
      <c r="I136" s="78" t="s">
        <v>34</v>
      </c>
      <c r="J136" s="78" t="s">
        <v>33</v>
      </c>
      <c r="K136" s="78" t="s">
        <v>301</v>
      </c>
      <c r="L136" s="77" t="s">
        <v>37</v>
      </c>
      <c r="M136" s="77" t="s">
        <v>14</v>
      </c>
      <c r="N136" s="182" t="s">
        <v>15</v>
      </c>
      <c r="O136" s="156"/>
      <c r="P136" s="32"/>
      <c r="Q136" s="33"/>
    </row>
    <row r="137" spans="1:17">
      <c r="A137" s="126" t="s">
        <v>65</v>
      </c>
      <c r="B137" s="127">
        <v>2193.7093500000005</v>
      </c>
      <c r="C137" s="39">
        <v>2448.7281000000003</v>
      </c>
      <c r="D137" s="39">
        <v>15.448300000000001</v>
      </c>
      <c r="E137" s="39">
        <v>6.28</v>
      </c>
      <c r="F137" s="40">
        <f>B137+C137+D137+E137</f>
        <v>4664.165750000001</v>
      </c>
      <c r="G137" s="171">
        <v>2193.7093500000001</v>
      </c>
      <c r="H137" s="127">
        <v>2199.1125750000001</v>
      </c>
      <c r="I137" s="39">
        <v>2454.7594500000005</v>
      </c>
      <c r="J137" s="39">
        <v>15.48635</v>
      </c>
      <c r="K137" s="39">
        <v>6.28</v>
      </c>
      <c r="L137" s="40">
        <f>H137+I137+J137+K137</f>
        <v>4675.6383750000005</v>
      </c>
      <c r="M137" s="41">
        <v>2199.1125750000001</v>
      </c>
      <c r="N137" s="174">
        <f>(F137*6)+G137+(L137*6)+M137</f>
        <v>60431.646675000011</v>
      </c>
      <c r="O137" s="156"/>
      <c r="P137" s="32"/>
      <c r="Q137" s="33"/>
    </row>
    <row r="138" spans="1:17">
      <c r="A138" s="126" t="s">
        <v>39</v>
      </c>
      <c r="B138" s="128">
        <v>2193.7093500000005</v>
      </c>
      <c r="C138" s="39">
        <v>2009.93345</v>
      </c>
      <c r="D138" s="39">
        <v>15.448300000000001</v>
      </c>
      <c r="E138" s="39">
        <v>6.28</v>
      </c>
      <c r="F138" s="40">
        <f t="shared" ref="F138:F153" si="17">B138+C138+D138+E138</f>
        <v>4225.3711000000003</v>
      </c>
      <c r="G138" s="171">
        <v>2193.7093500000005</v>
      </c>
      <c r="H138" s="128">
        <v>2199.1125750000006</v>
      </c>
      <c r="I138" s="39">
        <v>2014.8840250000001</v>
      </c>
      <c r="J138" s="39">
        <v>15.48635</v>
      </c>
      <c r="K138" s="39">
        <v>6.28</v>
      </c>
      <c r="L138" s="40">
        <f t="shared" ref="L138:L153" si="18">H138+I138+J138+K138</f>
        <v>4235.7629500000003</v>
      </c>
      <c r="M138" s="41">
        <v>2199.1125750000006</v>
      </c>
      <c r="N138" s="174">
        <f t="shared" ref="N138:N153" si="19">(F138*6)+G138+(L138*6)+M138</f>
        <v>55159.626225000007</v>
      </c>
      <c r="O138" s="156"/>
      <c r="P138" s="32"/>
      <c r="Q138" s="33"/>
    </row>
    <row r="139" spans="1:17">
      <c r="A139" s="126" t="s">
        <v>40</v>
      </c>
      <c r="B139" s="128">
        <v>2193.7093500000005</v>
      </c>
      <c r="C139" s="39">
        <v>1766.5669</v>
      </c>
      <c r="D139" s="39">
        <v>15.448300000000001</v>
      </c>
      <c r="E139" s="39">
        <v>6.28</v>
      </c>
      <c r="F139" s="40">
        <f t="shared" si="17"/>
        <v>3982.004550000001</v>
      </c>
      <c r="G139" s="171">
        <v>2193.7093500000005</v>
      </c>
      <c r="H139" s="128">
        <v>2199.1125750000006</v>
      </c>
      <c r="I139" s="39">
        <v>1770.91805</v>
      </c>
      <c r="J139" s="39">
        <v>15.48635</v>
      </c>
      <c r="K139" s="39">
        <v>6.28</v>
      </c>
      <c r="L139" s="40">
        <f t="shared" si="18"/>
        <v>3991.7969750000007</v>
      </c>
      <c r="M139" s="41">
        <v>2199.1125750000006</v>
      </c>
      <c r="N139" s="174">
        <f t="shared" si="19"/>
        <v>52235.631075000005</v>
      </c>
      <c r="O139" s="156"/>
      <c r="P139" s="32"/>
      <c r="Q139" s="33"/>
    </row>
    <row r="140" spans="1:17">
      <c r="A140" s="126" t="s">
        <v>41</v>
      </c>
      <c r="B140" s="128">
        <v>2193.7093500000005</v>
      </c>
      <c r="C140" s="39">
        <v>1302.7220500000001</v>
      </c>
      <c r="D140" s="39">
        <v>15.448300000000001</v>
      </c>
      <c r="E140" s="39">
        <v>6.28</v>
      </c>
      <c r="F140" s="40">
        <f t="shared" si="17"/>
        <v>3518.1597000000006</v>
      </c>
      <c r="G140" s="171">
        <v>2193.7093500000005</v>
      </c>
      <c r="H140" s="128">
        <v>2199.1125750000006</v>
      </c>
      <c r="I140" s="39">
        <v>1305.9307249999999</v>
      </c>
      <c r="J140" s="39">
        <v>15.48635</v>
      </c>
      <c r="K140" s="39">
        <v>6.28</v>
      </c>
      <c r="L140" s="40">
        <f t="shared" si="18"/>
        <v>3526.8096500000006</v>
      </c>
      <c r="M140" s="41">
        <v>2199.1125750000006</v>
      </c>
      <c r="N140" s="174">
        <f t="shared" si="19"/>
        <v>46662.638025000007</v>
      </c>
      <c r="O140" s="156"/>
      <c r="P140" s="32"/>
      <c r="Q140" s="33"/>
    </row>
    <row r="141" spans="1:17">
      <c r="A141" s="126" t="s">
        <v>42</v>
      </c>
      <c r="B141" s="128">
        <v>2193.7093500000005</v>
      </c>
      <c r="C141" s="39">
        <v>989.16824999999994</v>
      </c>
      <c r="D141" s="39">
        <v>15.448300000000001</v>
      </c>
      <c r="E141" s="39">
        <v>6.28</v>
      </c>
      <c r="F141" s="40">
        <f t="shared" si="17"/>
        <v>3204.6059000000009</v>
      </c>
      <c r="G141" s="171">
        <v>2193.7093500000005</v>
      </c>
      <c r="H141" s="128">
        <v>2199.1125750000006</v>
      </c>
      <c r="I141" s="39">
        <v>991.61</v>
      </c>
      <c r="J141" s="39">
        <v>15.48635</v>
      </c>
      <c r="K141" s="39">
        <v>6.28</v>
      </c>
      <c r="L141" s="40">
        <f t="shared" si="18"/>
        <v>3212.488925000001</v>
      </c>
      <c r="M141" s="41">
        <v>2199.1125750000006</v>
      </c>
      <c r="N141" s="174">
        <f t="shared" si="19"/>
        <v>42895.390875000012</v>
      </c>
      <c r="O141" s="156"/>
      <c r="P141" s="32"/>
      <c r="Q141" s="33"/>
    </row>
    <row r="142" spans="1:17">
      <c r="A142" s="126" t="s">
        <v>43</v>
      </c>
      <c r="B142" s="128">
        <v>2193.7093500000005</v>
      </c>
      <c r="C142" s="39">
        <v>952.29330000000004</v>
      </c>
      <c r="D142" s="39">
        <v>15.448300000000001</v>
      </c>
      <c r="E142" s="39">
        <v>6.28</v>
      </c>
      <c r="F142" s="40">
        <f t="shared" si="17"/>
        <v>3167.7309500000006</v>
      </c>
      <c r="G142" s="171">
        <v>2193.7093500000005</v>
      </c>
      <c r="H142" s="128">
        <v>2199.1125750000006</v>
      </c>
      <c r="I142" s="39">
        <v>954.63885000000005</v>
      </c>
      <c r="J142" s="39">
        <v>15.48635</v>
      </c>
      <c r="K142" s="39">
        <v>6.28</v>
      </c>
      <c r="L142" s="40">
        <f t="shared" si="18"/>
        <v>3175.5177750000007</v>
      </c>
      <c r="M142" s="41">
        <v>2199.1125750000006</v>
      </c>
      <c r="N142" s="174">
        <f t="shared" si="19"/>
        <v>42452.314275000004</v>
      </c>
      <c r="O142" s="156"/>
      <c r="P142" s="32"/>
      <c r="Q142" s="33"/>
    </row>
    <row r="143" spans="1:17">
      <c r="A143" s="126" t="s">
        <v>44</v>
      </c>
      <c r="B143" s="128">
        <v>2193.7093500000005</v>
      </c>
      <c r="C143" s="39">
        <v>822.37329999999997</v>
      </c>
      <c r="D143" s="39">
        <v>15.448300000000001</v>
      </c>
      <c r="E143" s="39">
        <v>6.28</v>
      </c>
      <c r="F143" s="40">
        <f t="shared" si="17"/>
        <v>3037.8109500000005</v>
      </c>
      <c r="G143" s="171">
        <v>2193.7093500000005</v>
      </c>
      <c r="H143" s="128">
        <v>2199.1125750000006</v>
      </c>
      <c r="I143" s="39">
        <v>824.39885000000004</v>
      </c>
      <c r="J143" s="39">
        <v>15.48635</v>
      </c>
      <c r="K143" s="39">
        <v>6.28</v>
      </c>
      <c r="L143" s="40">
        <f t="shared" si="18"/>
        <v>3045.2777750000009</v>
      </c>
      <c r="M143" s="41">
        <v>2199.1125750000006</v>
      </c>
      <c r="N143" s="174">
        <f t="shared" si="19"/>
        <v>40891.354275000012</v>
      </c>
      <c r="O143" s="156"/>
      <c r="P143" s="32"/>
      <c r="Q143" s="33"/>
    </row>
    <row r="144" spans="1:17">
      <c r="A144" s="126" t="s">
        <v>45</v>
      </c>
      <c r="B144" s="128">
        <v>2193.7093500000005</v>
      </c>
      <c r="C144" s="39">
        <v>729.47034999999994</v>
      </c>
      <c r="D144" s="39">
        <v>15.448300000000001</v>
      </c>
      <c r="E144" s="39">
        <v>6.28</v>
      </c>
      <c r="F144" s="40">
        <f t="shared" si="17"/>
        <v>2944.9080000000008</v>
      </c>
      <c r="G144" s="171">
        <v>2193.7093500000005</v>
      </c>
      <c r="H144" s="128">
        <v>2199.1125750000006</v>
      </c>
      <c r="I144" s="39">
        <v>731.26707499999998</v>
      </c>
      <c r="J144" s="39">
        <v>15.48635</v>
      </c>
      <c r="K144" s="39">
        <v>6.28</v>
      </c>
      <c r="L144" s="40">
        <f t="shared" si="18"/>
        <v>2952.1460000000011</v>
      </c>
      <c r="M144" s="41">
        <v>2199.1125750000006</v>
      </c>
      <c r="N144" s="174">
        <f t="shared" si="19"/>
        <v>39775.145925000012</v>
      </c>
      <c r="O144" s="156"/>
      <c r="P144" s="32"/>
      <c r="Q144" s="33"/>
    </row>
    <row r="145" spans="1:17">
      <c r="A145" s="126" t="s">
        <v>46</v>
      </c>
      <c r="B145" s="128">
        <v>2193.7093500000005</v>
      </c>
      <c r="C145" s="39">
        <v>639.93720000000008</v>
      </c>
      <c r="D145" s="39">
        <v>15.448300000000001</v>
      </c>
      <c r="E145" s="39">
        <v>6.28</v>
      </c>
      <c r="F145" s="40">
        <f t="shared" si="17"/>
        <v>2855.3748500000006</v>
      </c>
      <c r="G145" s="171">
        <v>2193.7093500000005</v>
      </c>
      <c r="H145" s="128">
        <v>2199.1125750000006</v>
      </c>
      <c r="I145" s="39">
        <v>641.51340000000005</v>
      </c>
      <c r="J145" s="39">
        <v>15.48635</v>
      </c>
      <c r="K145" s="39">
        <v>6.28</v>
      </c>
      <c r="L145" s="40">
        <f t="shared" si="18"/>
        <v>2862.3923250000012</v>
      </c>
      <c r="M145" s="41">
        <v>2199.1125750000006</v>
      </c>
      <c r="N145" s="174">
        <f t="shared" si="19"/>
        <v>38699.424975000009</v>
      </c>
      <c r="O145" s="156"/>
      <c r="P145" s="32"/>
      <c r="Q145" s="33"/>
    </row>
    <row r="146" spans="1:17">
      <c r="A146" s="126" t="s">
        <v>47</v>
      </c>
      <c r="B146" s="128">
        <v>2193.7093500000005</v>
      </c>
      <c r="C146" s="39">
        <v>543.62385000000006</v>
      </c>
      <c r="D146" s="39">
        <v>15.448300000000001</v>
      </c>
      <c r="E146" s="39">
        <v>6.28</v>
      </c>
      <c r="F146" s="40">
        <f t="shared" si="17"/>
        <v>2759.0615000000007</v>
      </c>
      <c r="G146" s="171">
        <v>2193.7093500000005</v>
      </c>
      <c r="H146" s="128">
        <v>2199.1125750000006</v>
      </c>
      <c r="I146" s="39">
        <v>544.96282500000007</v>
      </c>
      <c r="J146" s="39">
        <v>15.48635</v>
      </c>
      <c r="K146" s="39">
        <v>6.28</v>
      </c>
      <c r="L146" s="40">
        <f t="shared" si="18"/>
        <v>2765.841750000001</v>
      </c>
      <c r="M146" s="41">
        <v>2199.1125750000006</v>
      </c>
      <c r="N146" s="174">
        <f t="shared" si="19"/>
        <v>37542.241425000007</v>
      </c>
      <c r="O146" s="156"/>
      <c r="P146" s="32"/>
      <c r="Q146" s="33"/>
    </row>
    <row r="147" spans="1:17">
      <c r="A147" s="126" t="s">
        <v>48</v>
      </c>
      <c r="B147" s="128">
        <v>2193.7093500000005</v>
      </c>
      <c r="C147" s="39">
        <v>438.81495000000001</v>
      </c>
      <c r="D147" s="39">
        <v>15.448300000000001</v>
      </c>
      <c r="E147" s="39">
        <v>6.28</v>
      </c>
      <c r="F147" s="40">
        <f t="shared" si="17"/>
        <v>2654.2526000000007</v>
      </c>
      <c r="G147" s="171">
        <v>2193.7093500000005</v>
      </c>
      <c r="H147" s="128">
        <v>2199.1125750000006</v>
      </c>
      <c r="I147" s="39">
        <v>439.89</v>
      </c>
      <c r="J147" s="39">
        <v>15.48635</v>
      </c>
      <c r="K147" s="39">
        <v>6.28</v>
      </c>
      <c r="L147" s="40">
        <f t="shared" si="18"/>
        <v>2660.7689250000008</v>
      </c>
      <c r="M147" s="41">
        <v>2199.1125750000006</v>
      </c>
      <c r="N147" s="174">
        <f t="shared" si="19"/>
        <v>36282.951075000012</v>
      </c>
      <c r="O147" s="156"/>
      <c r="P147" s="32"/>
      <c r="Q147" s="33"/>
    </row>
    <row r="148" spans="1:17">
      <c r="A148" s="126" t="s">
        <v>49</v>
      </c>
      <c r="B148" s="128">
        <v>2193.7093500000005</v>
      </c>
      <c r="C148" s="39">
        <v>426.42180000000002</v>
      </c>
      <c r="D148" s="39">
        <v>15.448300000000001</v>
      </c>
      <c r="E148" s="39">
        <v>6.28</v>
      </c>
      <c r="F148" s="40">
        <f t="shared" si="17"/>
        <v>2641.8594500000008</v>
      </c>
      <c r="G148" s="171">
        <v>2193.7093500000005</v>
      </c>
      <c r="H148" s="128">
        <v>2199.1125750000006</v>
      </c>
      <c r="I148" s="39">
        <v>427.47210000000001</v>
      </c>
      <c r="J148" s="39">
        <v>15.48635</v>
      </c>
      <c r="K148" s="39">
        <v>6.28</v>
      </c>
      <c r="L148" s="40">
        <f t="shared" si="18"/>
        <v>2648.3510250000008</v>
      </c>
      <c r="M148" s="41">
        <v>2199.1125750000006</v>
      </c>
      <c r="N148" s="174">
        <f t="shared" si="19"/>
        <v>36134.08477500001</v>
      </c>
      <c r="O148" s="156"/>
      <c r="P148" s="32"/>
      <c r="Q148" s="33"/>
    </row>
    <row r="149" spans="1:17">
      <c r="A149" s="126" t="s">
        <v>50</v>
      </c>
      <c r="B149" s="128">
        <v>2193.7093500000005</v>
      </c>
      <c r="C149" s="39">
        <v>392.90649999999994</v>
      </c>
      <c r="D149" s="39">
        <v>15.448300000000001</v>
      </c>
      <c r="E149" s="39">
        <v>6.28</v>
      </c>
      <c r="F149" s="40">
        <f t="shared" si="17"/>
        <v>2608.3441500000008</v>
      </c>
      <c r="G149" s="171">
        <v>2193.7093500000005</v>
      </c>
      <c r="H149" s="128">
        <v>2199.1125750000006</v>
      </c>
      <c r="I149" s="39">
        <v>393.88</v>
      </c>
      <c r="J149" s="39">
        <v>15.48635</v>
      </c>
      <c r="K149" s="39">
        <v>6.28</v>
      </c>
      <c r="L149" s="40">
        <f t="shared" si="18"/>
        <v>2614.758925000001</v>
      </c>
      <c r="M149" s="41">
        <v>2199.1125750000006</v>
      </c>
      <c r="N149" s="174">
        <f t="shared" si="19"/>
        <v>35731.440375000013</v>
      </c>
      <c r="O149" s="156"/>
      <c r="P149" s="32"/>
      <c r="Q149" s="33"/>
    </row>
    <row r="150" spans="1:17">
      <c r="A150" s="126" t="s">
        <v>51</v>
      </c>
      <c r="B150" s="128">
        <v>2193.7093500000005</v>
      </c>
      <c r="C150" s="39">
        <v>320.65880000000004</v>
      </c>
      <c r="D150" s="39">
        <v>15.448300000000001</v>
      </c>
      <c r="E150" s="39">
        <v>6.28</v>
      </c>
      <c r="F150" s="40">
        <f t="shared" si="17"/>
        <v>2536.0964500000009</v>
      </c>
      <c r="G150" s="171">
        <v>2193.7093500000005</v>
      </c>
      <c r="H150" s="128">
        <v>2199.1125750000006</v>
      </c>
      <c r="I150" s="39">
        <v>321.4486</v>
      </c>
      <c r="J150" s="39">
        <v>15.48635</v>
      </c>
      <c r="K150" s="39">
        <v>6.28</v>
      </c>
      <c r="L150" s="40">
        <f t="shared" si="18"/>
        <v>2542.3275250000011</v>
      </c>
      <c r="M150" s="41">
        <v>2199.1125750000006</v>
      </c>
      <c r="N150" s="174">
        <f t="shared" si="19"/>
        <v>34863.365775000013</v>
      </c>
    </row>
    <row r="151" spans="1:17" s="22" customFormat="1">
      <c r="A151" s="126" t="s">
        <v>52</v>
      </c>
      <c r="B151" s="128">
        <v>2193.7093500000005</v>
      </c>
      <c r="C151" s="39">
        <v>265.45294999999999</v>
      </c>
      <c r="D151" s="39">
        <v>15.448300000000001</v>
      </c>
      <c r="E151" s="39">
        <v>6.28</v>
      </c>
      <c r="F151" s="40">
        <f t="shared" si="17"/>
        <v>2480.8906000000006</v>
      </c>
      <c r="G151" s="171">
        <v>2193.7093500000005</v>
      </c>
      <c r="H151" s="128">
        <v>2199.1125750000006</v>
      </c>
      <c r="I151" s="39">
        <v>266.10000000000002</v>
      </c>
      <c r="J151" s="39">
        <v>15.48635</v>
      </c>
      <c r="K151" s="39">
        <v>6.28</v>
      </c>
      <c r="L151" s="40">
        <f t="shared" si="18"/>
        <v>2486.9789250000008</v>
      </c>
      <c r="M151" s="41">
        <v>2199.1125750000006</v>
      </c>
      <c r="N151" s="174">
        <f t="shared" si="19"/>
        <v>34200.039075000008</v>
      </c>
    </row>
    <row r="152" spans="1:17" s="22" customFormat="1">
      <c r="A152" s="126" t="s">
        <v>53</v>
      </c>
      <c r="B152" s="128">
        <v>2193.7093500000005</v>
      </c>
      <c r="C152" s="39">
        <v>206.12619999999998</v>
      </c>
      <c r="D152" s="39">
        <v>15.448300000000001</v>
      </c>
      <c r="E152" s="39">
        <v>6.28</v>
      </c>
      <c r="F152" s="40">
        <f t="shared" si="17"/>
        <v>2421.5638500000009</v>
      </c>
      <c r="G152" s="171">
        <v>2193.7093500000005</v>
      </c>
      <c r="H152" s="128">
        <v>2199.1125750000006</v>
      </c>
      <c r="I152" s="39">
        <v>206.64</v>
      </c>
      <c r="J152" s="39">
        <v>15.48635</v>
      </c>
      <c r="K152" s="39">
        <v>6.28</v>
      </c>
      <c r="L152" s="40">
        <f t="shared" si="18"/>
        <v>2427.5189250000008</v>
      </c>
      <c r="M152" s="41">
        <v>2199.1125750000006</v>
      </c>
      <c r="N152" s="174">
        <f t="shared" si="19"/>
        <v>33487.318575000012</v>
      </c>
      <c r="O152" s="10"/>
    </row>
    <row r="153" spans="1:17" s="22" customFormat="1" ht="15.75" thickBot="1">
      <c r="A153" s="126" t="s">
        <v>54</v>
      </c>
      <c r="B153" s="129">
        <v>2193.7093500000005</v>
      </c>
      <c r="C153" s="103">
        <v>152.49359999999999</v>
      </c>
      <c r="D153" s="103">
        <v>15.448300000000001</v>
      </c>
      <c r="E153" s="39">
        <v>6.28</v>
      </c>
      <c r="F153" s="40">
        <f t="shared" si="17"/>
        <v>2367.9312500000005</v>
      </c>
      <c r="G153" s="172">
        <v>2193.7093500000005</v>
      </c>
      <c r="H153" s="129">
        <v>2199.1125750000006</v>
      </c>
      <c r="I153" s="103">
        <v>152.86919999999998</v>
      </c>
      <c r="J153" s="103">
        <v>15.48635</v>
      </c>
      <c r="K153" s="103">
        <v>6.28</v>
      </c>
      <c r="L153" s="157">
        <f t="shared" si="18"/>
        <v>2373.748125000001</v>
      </c>
      <c r="M153" s="130">
        <v>2199.1125750000006</v>
      </c>
      <c r="N153" s="175">
        <f t="shared" si="19"/>
        <v>32842.898175000009</v>
      </c>
      <c r="O153" s="88"/>
    </row>
    <row r="154" spans="1:17" s="22" customFormat="1">
      <c r="A154"/>
      <c r="B154"/>
      <c r="C154"/>
      <c r="D154"/>
      <c r="E154"/>
      <c r="F154"/>
      <c r="G154"/>
      <c r="H154" s="10"/>
      <c r="I154"/>
      <c r="J154"/>
      <c r="K154"/>
      <c r="L154"/>
      <c r="M154"/>
      <c r="N154"/>
      <c r="O154" s="88"/>
    </row>
    <row r="155" spans="1:17" s="22" customFormat="1">
      <c r="H155" s="10"/>
    </row>
    <row r="156" spans="1:17" s="22" customFormat="1">
      <c r="H156" s="10"/>
    </row>
    <row r="157" spans="1:17" s="22" customFormat="1">
      <c r="A157" s="24" t="s">
        <v>36</v>
      </c>
      <c r="B157" s="24"/>
      <c r="C157" s="24"/>
      <c r="D157" s="24"/>
      <c r="E157" s="24"/>
      <c r="F157" s="24"/>
      <c r="G157" s="24"/>
      <c r="H157" s="24"/>
      <c r="I157" s="24"/>
      <c r="J157" s="24"/>
    </row>
    <row r="158" spans="1:17" s="31" customFormat="1"/>
    <row r="159" spans="1:17" s="22" customFormat="1">
      <c r="A159" s="31" t="s">
        <v>31</v>
      </c>
      <c r="B159" s="31"/>
      <c r="C159" s="31"/>
      <c r="D159" s="31"/>
      <c r="E159" s="31"/>
      <c r="F159" s="31"/>
      <c r="G159" s="31"/>
      <c r="H159" s="31"/>
      <c r="I159" s="31"/>
      <c r="J159" s="31"/>
    </row>
    <row r="160" spans="1:17" s="22" customFormat="1" ht="15.75" thickBo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8" ht="15.75" thickBot="1">
      <c r="B161" s="489" t="s">
        <v>289</v>
      </c>
      <c r="C161" s="490"/>
      <c r="D161" s="490"/>
      <c r="E161" s="490"/>
      <c r="F161" s="490"/>
      <c r="G161" s="490"/>
      <c r="H161" s="491" t="s">
        <v>302</v>
      </c>
      <c r="I161" s="492"/>
      <c r="J161" s="492"/>
      <c r="K161" s="492"/>
      <c r="L161" s="492"/>
      <c r="M161" s="493"/>
    </row>
    <row r="162" spans="1:18" s="22" customFormat="1" ht="30">
      <c r="A162" s="81" t="s">
        <v>3</v>
      </c>
      <c r="B162" s="81" t="s">
        <v>7</v>
      </c>
      <c r="C162" s="82" t="s">
        <v>34</v>
      </c>
      <c r="D162" s="82" t="s">
        <v>33</v>
      </c>
      <c r="E162" s="78" t="s">
        <v>300</v>
      </c>
      <c r="F162" s="81" t="s">
        <v>37</v>
      </c>
      <c r="G162" s="81" t="s">
        <v>14</v>
      </c>
      <c r="H162" s="81" t="s">
        <v>7</v>
      </c>
      <c r="I162" s="82" t="s">
        <v>34</v>
      </c>
      <c r="J162" s="82" t="s">
        <v>33</v>
      </c>
      <c r="K162" s="78" t="s">
        <v>300</v>
      </c>
      <c r="L162" s="81" t="s">
        <v>37</v>
      </c>
      <c r="M162" s="81" t="s">
        <v>14</v>
      </c>
      <c r="N162" s="173" t="s">
        <v>15</v>
      </c>
      <c r="O162" s="34"/>
      <c r="P162" s="34"/>
      <c r="Q162" s="34"/>
      <c r="R162" s="10"/>
    </row>
    <row r="163" spans="1:18" s="22" customFormat="1">
      <c r="A163" s="25" t="s">
        <v>41</v>
      </c>
      <c r="B163" s="39">
        <v>1909.6616000000001</v>
      </c>
      <c r="C163" s="39">
        <v>1302.7220500000001</v>
      </c>
      <c r="D163" s="39">
        <v>15.448300000000001</v>
      </c>
      <c r="E163" s="39">
        <v>6.28</v>
      </c>
      <c r="F163" s="40">
        <f>B163+C163+D163+E163</f>
        <v>3234.1119500000004</v>
      </c>
      <c r="G163" s="41">
        <v>1909.66</v>
      </c>
      <c r="H163" s="39">
        <v>1914.36</v>
      </c>
      <c r="I163" s="39">
        <v>1305.9307249999999</v>
      </c>
      <c r="J163" s="39">
        <v>15.48635</v>
      </c>
      <c r="K163" s="39">
        <v>6.28</v>
      </c>
      <c r="L163" s="40">
        <f>H163+I163+J163+K163</f>
        <v>3242.0570750000002</v>
      </c>
      <c r="M163" s="41">
        <v>1914.3550250000001</v>
      </c>
      <c r="N163" s="177">
        <f>(F163*6)+G163+(L163*6)+M163</f>
        <v>42681.029175000003</v>
      </c>
      <c r="O163" s="88"/>
      <c r="P163" s="34"/>
      <c r="Q163" s="34"/>
      <c r="R163" s="10"/>
    </row>
    <row r="164" spans="1:18" s="22" customFormat="1">
      <c r="A164" s="25" t="s">
        <v>42</v>
      </c>
      <c r="B164" s="39">
        <v>1909.6616000000001</v>
      </c>
      <c r="C164" s="39">
        <v>989.16824999999994</v>
      </c>
      <c r="D164" s="39">
        <v>15.448300000000001</v>
      </c>
      <c r="E164" s="39">
        <v>6.28</v>
      </c>
      <c r="F164" s="40">
        <f t="shared" ref="F164:F178" si="20">B164+C164+D164+E164</f>
        <v>2920.5581500000003</v>
      </c>
      <c r="G164" s="41">
        <v>1909.66</v>
      </c>
      <c r="H164" s="39">
        <v>1914.36</v>
      </c>
      <c r="I164" s="39">
        <v>991.61</v>
      </c>
      <c r="J164" s="39">
        <v>15.48635</v>
      </c>
      <c r="K164" s="39">
        <v>6.28</v>
      </c>
      <c r="L164" s="40">
        <f t="shared" ref="L164:L178" si="21">H164+I164+J164+K164</f>
        <v>2927.7363500000001</v>
      </c>
      <c r="M164" s="41">
        <v>1914.3550250000001</v>
      </c>
      <c r="N164" s="177">
        <f t="shared" ref="N164:N178" si="22">(F164*6)+G164+(L164*6)+M164</f>
        <v>38913.782025</v>
      </c>
      <c r="O164" s="88"/>
      <c r="P164" s="34"/>
      <c r="Q164" s="34"/>
      <c r="R164" s="10"/>
    </row>
    <row r="165" spans="1:18" s="22" customFormat="1">
      <c r="A165" s="25" t="s">
        <v>43</v>
      </c>
      <c r="B165" s="39">
        <v>1909.6616000000001</v>
      </c>
      <c r="C165" s="39">
        <v>952.29330000000004</v>
      </c>
      <c r="D165" s="39">
        <v>15.448300000000001</v>
      </c>
      <c r="E165" s="39">
        <v>6.28</v>
      </c>
      <c r="F165" s="40">
        <f t="shared" si="20"/>
        <v>2883.6832000000004</v>
      </c>
      <c r="G165" s="41">
        <v>1909.66</v>
      </c>
      <c r="H165" s="39">
        <v>1914.36</v>
      </c>
      <c r="I165" s="39">
        <v>954.63885000000005</v>
      </c>
      <c r="J165" s="39">
        <v>15.48635</v>
      </c>
      <c r="K165" s="39">
        <v>6.28</v>
      </c>
      <c r="L165" s="40">
        <f t="shared" si="21"/>
        <v>2890.7652000000003</v>
      </c>
      <c r="M165" s="41">
        <v>1914.3550250000001</v>
      </c>
      <c r="N165" s="177">
        <f t="shared" si="22"/>
        <v>38470.705425000007</v>
      </c>
      <c r="O165" s="88"/>
      <c r="P165" s="34"/>
      <c r="Q165" s="34"/>
      <c r="R165" s="10"/>
    </row>
    <row r="166" spans="1:18" s="22" customFormat="1">
      <c r="A166" s="25" t="s">
        <v>56</v>
      </c>
      <c r="B166" s="39">
        <v>1909.6616000000001</v>
      </c>
      <c r="C166" s="39">
        <v>822.37329999999997</v>
      </c>
      <c r="D166" s="39">
        <v>15.448300000000001</v>
      </c>
      <c r="E166" s="39">
        <v>6.28</v>
      </c>
      <c r="F166" s="40">
        <f t="shared" si="20"/>
        <v>2753.7632000000003</v>
      </c>
      <c r="G166" s="41">
        <v>1909.66</v>
      </c>
      <c r="H166" s="39">
        <v>1914.36</v>
      </c>
      <c r="I166" s="39">
        <v>824.39885000000004</v>
      </c>
      <c r="J166" s="39">
        <v>15.48635</v>
      </c>
      <c r="K166" s="39">
        <v>6.28</v>
      </c>
      <c r="L166" s="40">
        <f t="shared" si="21"/>
        <v>2760.5252000000005</v>
      </c>
      <c r="M166" s="41">
        <v>1914.3550250000001</v>
      </c>
      <c r="N166" s="177">
        <f t="shared" si="22"/>
        <v>36909.745425000001</v>
      </c>
      <c r="O166" s="88"/>
      <c r="P166" s="34"/>
      <c r="Q166" s="34"/>
      <c r="R166" s="10"/>
    </row>
    <row r="167" spans="1:18" s="22" customFormat="1">
      <c r="A167" s="25" t="s">
        <v>45</v>
      </c>
      <c r="B167" s="39">
        <v>1909.6616000000001</v>
      </c>
      <c r="C167" s="39">
        <v>729.47034999999994</v>
      </c>
      <c r="D167" s="39">
        <v>15.448300000000001</v>
      </c>
      <c r="E167" s="39">
        <v>6.28</v>
      </c>
      <c r="F167" s="40">
        <f t="shared" si="20"/>
        <v>2660.8602500000002</v>
      </c>
      <c r="G167" s="41">
        <v>1909.66</v>
      </c>
      <c r="H167" s="39">
        <v>1914.36</v>
      </c>
      <c r="I167" s="39">
        <v>731.26707499999998</v>
      </c>
      <c r="J167" s="39">
        <v>15.48635</v>
      </c>
      <c r="K167" s="39">
        <v>6.28</v>
      </c>
      <c r="L167" s="40">
        <f t="shared" si="21"/>
        <v>2667.3934250000002</v>
      </c>
      <c r="M167" s="41">
        <v>1914.3550250000001</v>
      </c>
      <c r="N167" s="177">
        <f t="shared" si="22"/>
        <v>35793.537075</v>
      </c>
      <c r="O167" s="88"/>
      <c r="P167" s="34"/>
      <c r="Q167" s="34"/>
      <c r="R167" s="10"/>
    </row>
    <row r="168" spans="1:18" s="22" customFormat="1">
      <c r="A168" s="25" t="s">
        <v>46</v>
      </c>
      <c r="B168" s="39">
        <v>1909.6616000000001</v>
      </c>
      <c r="C168" s="39">
        <v>639.93720000000008</v>
      </c>
      <c r="D168" s="39">
        <v>15.448300000000001</v>
      </c>
      <c r="E168" s="39">
        <v>6.28</v>
      </c>
      <c r="F168" s="40">
        <f t="shared" si="20"/>
        <v>2571.3271000000004</v>
      </c>
      <c r="G168" s="41">
        <v>1909.66</v>
      </c>
      <c r="H168" s="39">
        <v>1914.36</v>
      </c>
      <c r="I168" s="39">
        <v>641.52</v>
      </c>
      <c r="J168" s="39">
        <v>15.48635</v>
      </c>
      <c r="K168" s="39">
        <v>6.28</v>
      </c>
      <c r="L168" s="40">
        <f t="shared" si="21"/>
        <v>2577.6463500000004</v>
      </c>
      <c r="M168" s="41">
        <v>1914.3550250000001</v>
      </c>
      <c r="N168" s="177">
        <f t="shared" si="22"/>
        <v>34717.855725000001</v>
      </c>
      <c r="O168" s="88"/>
      <c r="P168" s="34"/>
      <c r="Q168" s="34"/>
      <c r="R168" s="10"/>
    </row>
    <row r="169" spans="1:18" s="22" customFormat="1">
      <c r="A169" s="25" t="s">
        <v>47</v>
      </c>
      <c r="B169" s="39">
        <v>1909.6616000000001</v>
      </c>
      <c r="C169" s="39">
        <v>543.62385000000006</v>
      </c>
      <c r="D169" s="39">
        <v>15.448300000000001</v>
      </c>
      <c r="E169" s="39">
        <v>6.28</v>
      </c>
      <c r="F169" s="40">
        <f t="shared" si="20"/>
        <v>2475.0137500000005</v>
      </c>
      <c r="G169" s="41">
        <v>1909.66</v>
      </c>
      <c r="H169" s="39">
        <v>1914.36</v>
      </c>
      <c r="I169" s="39">
        <v>544.96282500000007</v>
      </c>
      <c r="J169" s="39">
        <v>15.48635</v>
      </c>
      <c r="K169" s="39">
        <v>6.28</v>
      </c>
      <c r="L169" s="40">
        <f t="shared" si="21"/>
        <v>2481.0891750000005</v>
      </c>
      <c r="M169" s="41">
        <v>1914.3550250000001</v>
      </c>
      <c r="N169" s="177">
        <f t="shared" si="22"/>
        <v>33560.632575000003</v>
      </c>
      <c r="O169" s="88"/>
      <c r="P169" s="34"/>
      <c r="Q169" s="34"/>
      <c r="R169" s="10"/>
    </row>
    <row r="170" spans="1:18" s="22" customFormat="1">
      <c r="A170" s="25" t="s">
        <v>57</v>
      </c>
      <c r="B170" s="39">
        <v>1909.6616000000001</v>
      </c>
      <c r="C170" s="39">
        <v>438.81495000000001</v>
      </c>
      <c r="D170" s="39">
        <v>15.448300000000001</v>
      </c>
      <c r="E170" s="39">
        <v>6.28</v>
      </c>
      <c r="F170" s="40">
        <f t="shared" si="20"/>
        <v>2370.2048500000005</v>
      </c>
      <c r="G170" s="41">
        <v>1909.66</v>
      </c>
      <c r="H170" s="39">
        <v>1914.36</v>
      </c>
      <c r="I170" s="39">
        <v>439.89577499999996</v>
      </c>
      <c r="J170" s="39">
        <v>15.48635</v>
      </c>
      <c r="K170" s="39">
        <v>6.28</v>
      </c>
      <c r="L170" s="40">
        <f t="shared" si="21"/>
        <v>2376.022125</v>
      </c>
      <c r="M170" s="41">
        <v>1914.3550250000001</v>
      </c>
      <c r="N170" s="177">
        <f t="shared" si="22"/>
        <v>32301.376875000005</v>
      </c>
      <c r="O170" s="88"/>
      <c r="P170" s="34"/>
      <c r="Q170" s="34"/>
      <c r="R170" s="10"/>
    </row>
    <row r="171" spans="1:18" s="22" customFormat="1">
      <c r="A171" s="25" t="s">
        <v>49</v>
      </c>
      <c r="B171" s="39">
        <v>1909.6616000000001</v>
      </c>
      <c r="C171" s="39">
        <v>426.42180000000002</v>
      </c>
      <c r="D171" s="39">
        <v>15.448300000000001</v>
      </c>
      <c r="E171" s="39">
        <v>6.28</v>
      </c>
      <c r="F171" s="40">
        <f t="shared" si="20"/>
        <v>2357.8117000000002</v>
      </c>
      <c r="G171" s="41">
        <v>1909.66</v>
      </c>
      <c r="H171" s="39">
        <v>1914.36</v>
      </c>
      <c r="I171" s="39">
        <v>427.47210000000001</v>
      </c>
      <c r="J171" s="39">
        <v>15.48635</v>
      </c>
      <c r="K171" s="39">
        <v>6.28</v>
      </c>
      <c r="L171" s="40">
        <f t="shared" si="21"/>
        <v>2363.5984500000004</v>
      </c>
      <c r="M171" s="41">
        <v>1914.3550250000001</v>
      </c>
      <c r="N171" s="177">
        <f t="shared" si="22"/>
        <v>32152.475925000002</v>
      </c>
      <c r="O171" s="88"/>
      <c r="P171" s="34"/>
      <c r="Q171" s="34"/>
      <c r="R171" s="10"/>
    </row>
    <row r="172" spans="1:18" s="22" customFormat="1">
      <c r="A172" s="25" t="s">
        <v>50</v>
      </c>
      <c r="B172" s="39">
        <v>1909.6616000000001</v>
      </c>
      <c r="C172" s="39">
        <v>392.90649999999994</v>
      </c>
      <c r="D172" s="39">
        <v>15.448300000000001</v>
      </c>
      <c r="E172" s="39">
        <v>6.28</v>
      </c>
      <c r="F172" s="40">
        <f t="shared" si="20"/>
        <v>2324.2964000000002</v>
      </c>
      <c r="G172" s="41">
        <v>1909.66</v>
      </c>
      <c r="H172" s="39">
        <v>1914.36</v>
      </c>
      <c r="I172" s="39">
        <v>393.88</v>
      </c>
      <c r="J172" s="39">
        <v>15.48635</v>
      </c>
      <c r="K172" s="39">
        <v>6.28</v>
      </c>
      <c r="L172" s="40">
        <f t="shared" si="21"/>
        <v>2330.0063500000001</v>
      </c>
      <c r="M172" s="41">
        <v>1914.3550250000001</v>
      </c>
      <c r="N172" s="177">
        <f t="shared" si="22"/>
        <v>31749.831525000005</v>
      </c>
      <c r="O172" s="88"/>
      <c r="P172" s="34"/>
      <c r="Q172" s="34"/>
      <c r="R172" s="10"/>
    </row>
    <row r="173" spans="1:18" s="22" customFormat="1">
      <c r="A173" s="25" t="s">
        <v>51</v>
      </c>
      <c r="B173" s="39">
        <v>1909.6616000000001</v>
      </c>
      <c r="C173" s="39">
        <v>320.65880000000004</v>
      </c>
      <c r="D173" s="39">
        <v>15.448300000000001</v>
      </c>
      <c r="E173" s="39">
        <v>6.28</v>
      </c>
      <c r="F173" s="40">
        <f t="shared" si="20"/>
        <v>2252.0487000000003</v>
      </c>
      <c r="G173" s="41">
        <v>1909.66</v>
      </c>
      <c r="H173" s="39">
        <v>1914.36</v>
      </c>
      <c r="I173" s="39">
        <v>321.4486</v>
      </c>
      <c r="J173" s="39">
        <v>15.48635</v>
      </c>
      <c r="K173" s="39">
        <v>6.28</v>
      </c>
      <c r="L173" s="40">
        <f t="shared" si="21"/>
        <v>2257.5749500000002</v>
      </c>
      <c r="M173" s="41">
        <v>1914.3550250000001</v>
      </c>
      <c r="N173" s="177">
        <f t="shared" si="22"/>
        <v>30881.756925000005</v>
      </c>
      <c r="O173" s="88"/>
      <c r="P173" s="34"/>
      <c r="Q173" s="34"/>
      <c r="R173" s="10"/>
    </row>
    <row r="174" spans="1:18" s="22" customFormat="1">
      <c r="A174" s="25" t="s">
        <v>58</v>
      </c>
      <c r="B174" s="39">
        <v>1909.6616000000001</v>
      </c>
      <c r="C174" s="39">
        <v>303.12975</v>
      </c>
      <c r="D174" s="39">
        <v>15.448300000000001</v>
      </c>
      <c r="E174" s="39">
        <v>6.28</v>
      </c>
      <c r="F174" s="40">
        <f t="shared" si="20"/>
        <v>2234.5196500000002</v>
      </c>
      <c r="G174" s="41">
        <v>1909.66</v>
      </c>
      <c r="H174" s="39">
        <v>1914.36</v>
      </c>
      <c r="I174" s="39">
        <v>303.876375</v>
      </c>
      <c r="J174" s="39">
        <v>15.48635</v>
      </c>
      <c r="K174" s="39">
        <v>6.28</v>
      </c>
      <c r="L174" s="40">
        <f t="shared" si="21"/>
        <v>2240.0027250000003</v>
      </c>
      <c r="M174" s="41">
        <v>1914.3550250000001</v>
      </c>
      <c r="N174" s="177">
        <f t="shared" si="22"/>
        <v>30671.149275000003</v>
      </c>
      <c r="O174" s="88"/>
      <c r="P174" s="34"/>
      <c r="Q174" s="34"/>
      <c r="R174" s="10"/>
    </row>
    <row r="175" spans="1:18" s="22" customFormat="1">
      <c r="A175" s="25" t="s">
        <v>52</v>
      </c>
      <c r="B175" s="39">
        <v>1909.6616000000001</v>
      </c>
      <c r="C175" s="39">
        <v>265.45294999999999</v>
      </c>
      <c r="D175" s="39">
        <v>15.448300000000001</v>
      </c>
      <c r="E175" s="39">
        <v>6.28</v>
      </c>
      <c r="F175" s="40">
        <f t="shared" si="20"/>
        <v>2196.8428500000005</v>
      </c>
      <c r="G175" s="41">
        <v>1909.66</v>
      </c>
      <c r="H175" s="39">
        <v>1914.36</v>
      </c>
      <c r="I175" s="39">
        <v>266.10000000000002</v>
      </c>
      <c r="J175" s="39">
        <v>15.48635</v>
      </c>
      <c r="K175" s="39">
        <v>6.28</v>
      </c>
      <c r="L175" s="40">
        <f t="shared" si="21"/>
        <v>2202.2263500000004</v>
      </c>
      <c r="M175" s="41">
        <v>1914.3550250000001</v>
      </c>
      <c r="N175" s="177">
        <f t="shared" si="22"/>
        <v>30218.430225000004</v>
      </c>
      <c r="O175" s="88"/>
      <c r="P175" s="34"/>
      <c r="Q175" s="34"/>
      <c r="R175" s="10"/>
    </row>
    <row r="176" spans="1:18" s="22" customFormat="1">
      <c r="A176" s="25" t="s">
        <v>53</v>
      </c>
      <c r="B176" s="39">
        <v>1909.6616000000001</v>
      </c>
      <c r="C176" s="39">
        <v>206.12619999999998</v>
      </c>
      <c r="D176" s="39">
        <v>15.448300000000001</v>
      </c>
      <c r="E176" s="39">
        <v>6.28</v>
      </c>
      <c r="F176" s="40">
        <f t="shared" si="20"/>
        <v>2137.5161000000003</v>
      </c>
      <c r="G176" s="41">
        <v>1909.66</v>
      </c>
      <c r="H176" s="39">
        <v>1914.36</v>
      </c>
      <c r="I176" s="39">
        <v>206.64</v>
      </c>
      <c r="J176" s="39">
        <v>15.48635</v>
      </c>
      <c r="K176" s="39">
        <v>6.28</v>
      </c>
      <c r="L176" s="40">
        <f t="shared" si="21"/>
        <v>2142.7663500000003</v>
      </c>
      <c r="M176" s="41">
        <v>1914.3550250000001</v>
      </c>
      <c r="N176" s="177">
        <f t="shared" si="22"/>
        <v>29505.709725000004</v>
      </c>
      <c r="O176" s="88"/>
      <c r="P176" s="34"/>
      <c r="Q176" s="34"/>
      <c r="R176" s="10"/>
    </row>
    <row r="177" spans="1:17" s="22" customFormat="1">
      <c r="A177" s="25" t="s">
        <v>54</v>
      </c>
      <c r="B177" s="39">
        <v>1909.6616000000001</v>
      </c>
      <c r="C177" s="39">
        <v>152.49359999999999</v>
      </c>
      <c r="D177" s="39">
        <v>15.448300000000001</v>
      </c>
      <c r="E177" s="39">
        <v>6.28</v>
      </c>
      <c r="F177" s="40">
        <f t="shared" si="20"/>
        <v>2083.8835000000004</v>
      </c>
      <c r="G177" s="41">
        <v>1909.66</v>
      </c>
      <c r="H177" s="39">
        <v>1914.36</v>
      </c>
      <c r="I177" s="39">
        <v>152.86919999999998</v>
      </c>
      <c r="J177" s="39">
        <v>15.48635</v>
      </c>
      <c r="K177" s="39">
        <v>6.28</v>
      </c>
      <c r="L177" s="40">
        <f t="shared" si="21"/>
        <v>2088.9955500000001</v>
      </c>
      <c r="M177" s="41">
        <v>1914.3550250000001</v>
      </c>
      <c r="N177" s="177">
        <f t="shared" si="22"/>
        <v>28861.289325000005</v>
      </c>
      <c r="O177" s="88"/>
      <c r="P177" s="30"/>
      <c r="Q177" s="30"/>
    </row>
    <row r="178" spans="1:17" s="22" customFormat="1">
      <c r="A178" s="25" t="s">
        <v>59</v>
      </c>
      <c r="B178" s="39">
        <v>1909.6616000000001</v>
      </c>
      <c r="C178" s="39">
        <v>101.00265</v>
      </c>
      <c r="D178" s="39">
        <v>15.448300000000001</v>
      </c>
      <c r="E178" s="39">
        <v>6.28</v>
      </c>
      <c r="F178" s="40">
        <f t="shared" si="20"/>
        <v>2032.39255</v>
      </c>
      <c r="G178" s="41">
        <v>1909.66</v>
      </c>
      <c r="H178" s="39">
        <v>1914.36</v>
      </c>
      <c r="I178" s="39">
        <v>101.25142500000001</v>
      </c>
      <c r="J178" s="39">
        <v>15.48635</v>
      </c>
      <c r="K178" s="39">
        <v>6.28</v>
      </c>
      <c r="L178" s="40">
        <f t="shared" si="21"/>
        <v>2037.3777749999997</v>
      </c>
      <c r="M178" s="41">
        <v>1914.3550250000001</v>
      </c>
      <c r="N178" s="177">
        <f t="shared" si="22"/>
        <v>28242.636974999998</v>
      </c>
      <c r="O178" s="88"/>
      <c r="P178" s="30"/>
      <c r="Q178" s="30"/>
    </row>
    <row r="179" spans="1:17" s="30" customFormat="1"/>
    <row r="180" spans="1:17" s="30" customFormat="1" ht="14.25" customHeight="1"/>
    <row r="181" spans="1:17" s="22" customFormat="1">
      <c r="A181" s="24" t="s">
        <v>38</v>
      </c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7" s="22" customFormat="1" ht="14.25" customHeight="1">
      <c r="A182" s="17"/>
      <c r="H182" s="10"/>
    </row>
    <row r="183" spans="1:17" s="22" customFormat="1" ht="15" customHeight="1">
      <c r="A183" s="31"/>
      <c r="B183" s="31"/>
      <c r="C183" s="31"/>
      <c r="D183" s="31"/>
      <c r="H183" s="10"/>
    </row>
    <row r="184" spans="1:17" s="22" customFormat="1" ht="16.5" customHeight="1">
      <c r="A184" s="31" t="s">
        <v>31</v>
      </c>
      <c r="B184" s="31"/>
      <c r="C184" s="31"/>
      <c r="D184" s="31"/>
      <c r="H184" s="10"/>
    </row>
    <row r="185" spans="1:17" s="22" customFormat="1" ht="16.5" customHeight="1" thickBot="1">
      <c r="A185" s="31"/>
      <c r="B185" s="31"/>
      <c r="C185" s="31"/>
      <c r="D185" s="31"/>
      <c r="H185" s="10"/>
    </row>
    <row r="186" spans="1:17" ht="15.75" thickBot="1">
      <c r="B186" s="489" t="s">
        <v>289</v>
      </c>
      <c r="C186" s="490"/>
      <c r="D186" s="490"/>
      <c r="E186" s="490"/>
      <c r="F186" s="490"/>
      <c r="G186" s="490"/>
      <c r="H186" s="491" t="s">
        <v>302</v>
      </c>
      <c r="I186" s="492"/>
      <c r="J186" s="492"/>
      <c r="K186" s="492"/>
      <c r="L186" s="492"/>
      <c r="M186" s="493"/>
    </row>
    <row r="187" spans="1:17" s="22" customFormat="1" ht="30">
      <c r="A187" s="81" t="s">
        <v>3</v>
      </c>
      <c r="B187" s="81" t="s">
        <v>7</v>
      </c>
      <c r="C187" s="82" t="s">
        <v>34</v>
      </c>
      <c r="D187" s="82" t="s">
        <v>33</v>
      </c>
      <c r="E187" s="78" t="s">
        <v>300</v>
      </c>
      <c r="F187" s="81" t="s">
        <v>37</v>
      </c>
      <c r="G187" s="81" t="s">
        <v>14</v>
      </c>
      <c r="H187" s="81" t="s">
        <v>7</v>
      </c>
      <c r="I187" s="82" t="s">
        <v>34</v>
      </c>
      <c r="J187" s="82" t="s">
        <v>33</v>
      </c>
      <c r="K187" s="78" t="s">
        <v>300</v>
      </c>
      <c r="L187" s="81" t="s">
        <v>37</v>
      </c>
      <c r="M187" s="81" t="s">
        <v>14</v>
      </c>
      <c r="N187" s="173" t="s">
        <v>15</v>
      </c>
      <c r="O187" s="10"/>
    </row>
    <row r="188" spans="1:17" s="22" customFormat="1">
      <c r="A188" s="26" t="s">
        <v>43</v>
      </c>
      <c r="B188" s="39">
        <v>1671.02495</v>
      </c>
      <c r="C188" s="46">
        <v>952.29330000000004</v>
      </c>
      <c r="D188" s="39">
        <v>15.448300000000001</v>
      </c>
      <c r="E188" s="39">
        <v>6.28</v>
      </c>
      <c r="F188" s="40">
        <f>B188+C188+D188+E188</f>
        <v>2645.0465500000005</v>
      </c>
      <c r="G188" s="41">
        <v>1671.02495</v>
      </c>
      <c r="H188" s="39">
        <v>1675.1407750000001</v>
      </c>
      <c r="I188" s="46">
        <v>954.63885000000005</v>
      </c>
      <c r="J188" s="39">
        <v>15.48635</v>
      </c>
      <c r="K188" s="39">
        <v>6.28</v>
      </c>
      <c r="L188" s="40">
        <f>H188+I188+J188+K188</f>
        <v>2651.5459750000005</v>
      </c>
      <c r="M188" s="41">
        <v>1675.1407749999998</v>
      </c>
      <c r="N188" s="177">
        <f>(F188*6)+G188+(L188*6)+M188</f>
        <v>35125.720875000006</v>
      </c>
      <c r="O188" s="88"/>
    </row>
    <row r="189" spans="1:17" s="22" customFormat="1">
      <c r="A189" s="4" t="s">
        <v>49</v>
      </c>
      <c r="B189" s="39">
        <v>1671.02495</v>
      </c>
      <c r="C189" s="46">
        <v>426.42180000000002</v>
      </c>
      <c r="D189" s="39">
        <v>15.448300000000001</v>
      </c>
      <c r="E189" s="39">
        <v>6.28</v>
      </c>
      <c r="F189" s="40">
        <f t="shared" ref="F189:F197" si="23">B189+C189+D189+E189</f>
        <v>2119.1750500000003</v>
      </c>
      <c r="G189" s="41">
        <v>1671.02495</v>
      </c>
      <c r="H189" s="39">
        <v>1675.1407749999998</v>
      </c>
      <c r="I189" s="46">
        <v>427.47210000000001</v>
      </c>
      <c r="J189" s="39">
        <v>15.48635</v>
      </c>
      <c r="K189" s="39">
        <v>6.28</v>
      </c>
      <c r="L189" s="40">
        <f t="shared" ref="L189:L197" si="24">H189+I189+J189+K189</f>
        <v>2124.3792250000001</v>
      </c>
      <c r="M189" s="41">
        <v>1675.1407749999998</v>
      </c>
      <c r="N189" s="177">
        <f t="shared" ref="N189:N197" si="25">(F189*6)+G189+(L189*6)+M189</f>
        <v>28807.491375000001</v>
      </c>
      <c r="O189" s="88"/>
    </row>
    <row r="190" spans="1:17" s="22" customFormat="1">
      <c r="A190" s="4" t="s">
        <v>50</v>
      </c>
      <c r="B190" s="39">
        <v>1671.02495</v>
      </c>
      <c r="C190" s="46">
        <v>392.90649999999994</v>
      </c>
      <c r="D190" s="39">
        <v>15.448300000000001</v>
      </c>
      <c r="E190" s="39">
        <v>6.28</v>
      </c>
      <c r="F190" s="40">
        <f t="shared" si="23"/>
        <v>2085.6597500000003</v>
      </c>
      <c r="G190" s="41">
        <v>1671.02495</v>
      </c>
      <c r="H190" s="39">
        <v>1675.1407749999998</v>
      </c>
      <c r="I190" s="46">
        <v>393.88</v>
      </c>
      <c r="J190" s="39">
        <v>15.48635</v>
      </c>
      <c r="K190" s="39">
        <v>6.28</v>
      </c>
      <c r="L190" s="40">
        <f t="shared" si="24"/>
        <v>2090.7871250000003</v>
      </c>
      <c r="M190" s="41">
        <v>1675.1407749999998</v>
      </c>
      <c r="N190" s="177">
        <f t="shared" si="25"/>
        <v>28404.846975</v>
      </c>
      <c r="O190" s="88"/>
    </row>
    <row r="191" spans="1:17" s="22" customFormat="1">
      <c r="A191" s="4" t="s">
        <v>51</v>
      </c>
      <c r="B191" s="39">
        <v>1671.02495</v>
      </c>
      <c r="C191" s="46">
        <v>320.65880000000004</v>
      </c>
      <c r="D191" s="39">
        <v>15.448300000000001</v>
      </c>
      <c r="E191" s="39">
        <v>6.28</v>
      </c>
      <c r="F191" s="40">
        <f t="shared" si="23"/>
        <v>2013.4120500000001</v>
      </c>
      <c r="G191" s="41">
        <v>1671.02495</v>
      </c>
      <c r="H191" s="39">
        <v>1675.1407749999998</v>
      </c>
      <c r="I191" s="46">
        <v>321.4486</v>
      </c>
      <c r="J191" s="39">
        <v>15.48635</v>
      </c>
      <c r="K191" s="39">
        <v>6.28</v>
      </c>
      <c r="L191" s="40">
        <f t="shared" si="24"/>
        <v>2018.3557249999997</v>
      </c>
      <c r="M191" s="41">
        <v>1675.1407749999998</v>
      </c>
      <c r="N191" s="177">
        <f t="shared" si="25"/>
        <v>27536.772375</v>
      </c>
      <c r="O191" s="88"/>
    </row>
    <row r="192" spans="1:17" s="22" customFormat="1">
      <c r="A192" s="4" t="s">
        <v>52</v>
      </c>
      <c r="B192" s="39">
        <v>1671.02495</v>
      </c>
      <c r="C192" s="46">
        <v>265.45294999999999</v>
      </c>
      <c r="D192" s="39">
        <v>15.448300000000001</v>
      </c>
      <c r="E192" s="39">
        <v>6.28</v>
      </c>
      <c r="F192" s="40">
        <f t="shared" si="23"/>
        <v>1958.2061999999999</v>
      </c>
      <c r="G192" s="41">
        <v>1671.02495</v>
      </c>
      <c r="H192" s="39">
        <v>1675.1407749999998</v>
      </c>
      <c r="I192" s="46">
        <v>266.10000000000002</v>
      </c>
      <c r="J192" s="39">
        <v>15.48635</v>
      </c>
      <c r="K192" s="39">
        <v>6.28</v>
      </c>
      <c r="L192" s="40">
        <f t="shared" si="24"/>
        <v>1963.0071249999996</v>
      </c>
      <c r="M192" s="41">
        <v>1675.1407749999998</v>
      </c>
      <c r="N192" s="177">
        <f t="shared" si="25"/>
        <v>26873.445674999995</v>
      </c>
      <c r="O192" s="88"/>
    </row>
    <row r="193" spans="1:15" s="22" customFormat="1">
      <c r="A193" s="4" t="s">
        <v>53</v>
      </c>
      <c r="B193" s="39">
        <v>1671.02495</v>
      </c>
      <c r="C193" s="46">
        <v>206.12619999999998</v>
      </c>
      <c r="D193" s="39">
        <v>15.448300000000001</v>
      </c>
      <c r="E193" s="39">
        <v>6.28</v>
      </c>
      <c r="F193" s="40">
        <f t="shared" si="23"/>
        <v>1898.8794499999999</v>
      </c>
      <c r="G193" s="41">
        <v>1671.02495</v>
      </c>
      <c r="H193" s="39">
        <v>1675.1407749999998</v>
      </c>
      <c r="I193" s="46">
        <v>206.64</v>
      </c>
      <c r="J193" s="39">
        <v>15.48635</v>
      </c>
      <c r="K193" s="39">
        <v>6.28</v>
      </c>
      <c r="L193" s="40">
        <f t="shared" si="24"/>
        <v>1903.5471249999996</v>
      </c>
      <c r="M193" s="41">
        <v>1675.1407749999998</v>
      </c>
      <c r="N193" s="177">
        <f t="shared" si="25"/>
        <v>26160.725174999996</v>
      </c>
      <c r="O193" s="88"/>
    </row>
    <row r="194" spans="1:15" s="22" customFormat="1">
      <c r="A194" s="4" t="s">
        <v>54</v>
      </c>
      <c r="B194" s="39">
        <v>1671.02495</v>
      </c>
      <c r="C194" s="46">
        <v>152.49359999999999</v>
      </c>
      <c r="D194" s="39">
        <v>15.448300000000001</v>
      </c>
      <c r="E194" s="39">
        <v>6.28</v>
      </c>
      <c r="F194" s="40">
        <f t="shared" si="23"/>
        <v>1845.24685</v>
      </c>
      <c r="G194" s="41">
        <v>1671.02495</v>
      </c>
      <c r="H194" s="39">
        <v>1675.1407749999998</v>
      </c>
      <c r="I194" s="46">
        <v>152.86919999999998</v>
      </c>
      <c r="J194" s="39">
        <v>15.48635</v>
      </c>
      <c r="K194" s="39">
        <v>6.28</v>
      </c>
      <c r="L194" s="40">
        <f t="shared" si="24"/>
        <v>1849.7763249999998</v>
      </c>
      <c r="M194" s="41">
        <v>1675.1407749999998</v>
      </c>
      <c r="N194" s="177">
        <f t="shared" si="25"/>
        <v>25516.304774999997</v>
      </c>
      <c r="O194" s="88"/>
    </row>
    <row r="195" spans="1:15" s="22" customFormat="1">
      <c r="A195" s="4" t="s">
        <v>60</v>
      </c>
      <c r="B195" s="39">
        <v>1671.02495</v>
      </c>
      <c r="C195" s="46">
        <v>141.16619999999998</v>
      </c>
      <c r="D195" s="39">
        <v>15.448300000000001</v>
      </c>
      <c r="E195" s="39">
        <v>6.28</v>
      </c>
      <c r="F195" s="40">
        <f t="shared" si="23"/>
        <v>1833.9194499999999</v>
      </c>
      <c r="G195" s="41">
        <v>1671.02495</v>
      </c>
      <c r="H195" s="39">
        <v>1675.1407749999998</v>
      </c>
      <c r="I195" s="46">
        <v>141.51389999999998</v>
      </c>
      <c r="J195" s="39">
        <v>15.48635</v>
      </c>
      <c r="K195" s="39">
        <v>6.28</v>
      </c>
      <c r="L195" s="40">
        <f t="shared" si="24"/>
        <v>1838.4210249999996</v>
      </c>
      <c r="M195" s="41">
        <v>1675.1407749999998</v>
      </c>
      <c r="N195" s="177">
        <f t="shared" si="25"/>
        <v>25380.208574999997</v>
      </c>
      <c r="O195" s="88"/>
    </row>
    <row r="196" spans="1:15" s="22" customFormat="1">
      <c r="A196" s="4" t="s">
        <v>55</v>
      </c>
      <c r="B196" s="39">
        <v>1671.02495</v>
      </c>
      <c r="C196" s="46">
        <v>125.6367</v>
      </c>
      <c r="D196" s="39">
        <v>15.448300000000001</v>
      </c>
      <c r="E196" s="39">
        <v>6.28</v>
      </c>
      <c r="F196" s="40">
        <f t="shared" si="23"/>
        <v>1818.38995</v>
      </c>
      <c r="G196" s="41">
        <v>1671.02495</v>
      </c>
      <c r="H196" s="39">
        <v>1675.1407749999998</v>
      </c>
      <c r="I196" s="46">
        <v>125.94615</v>
      </c>
      <c r="J196" s="39">
        <v>15.48635</v>
      </c>
      <c r="K196" s="39">
        <v>6.28</v>
      </c>
      <c r="L196" s="40">
        <f t="shared" si="24"/>
        <v>1822.8532749999997</v>
      </c>
      <c r="M196" s="41">
        <v>1675.1407749999998</v>
      </c>
      <c r="N196" s="177">
        <f t="shared" si="25"/>
        <v>25193.625074999996</v>
      </c>
      <c r="O196" s="88"/>
    </row>
    <row r="197" spans="1:15" s="22" customFormat="1">
      <c r="A197" s="4" t="s">
        <v>59</v>
      </c>
      <c r="B197" s="39">
        <v>1671.02495</v>
      </c>
      <c r="C197" s="46">
        <v>101.00265</v>
      </c>
      <c r="D197" s="39">
        <v>15.448300000000001</v>
      </c>
      <c r="E197" s="39">
        <v>6.28</v>
      </c>
      <c r="F197" s="40">
        <f t="shared" si="23"/>
        <v>1793.7558999999999</v>
      </c>
      <c r="G197" s="41">
        <v>1671.02495</v>
      </c>
      <c r="H197" s="39">
        <v>1675.1407749999998</v>
      </c>
      <c r="I197" s="46">
        <v>101.25142500000001</v>
      </c>
      <c r="J197" s="39">
        <v>15.48635</v>
      </c>
      <c r="K197" s="39">
        <v>6.28</v>
      </c>
      <c r="L197" s="40">
        <f t="shared" si="24"/>
        <v>1798.1585499999997</v>
      </c>
      <c r="M197" s="41">
        <v>1675.1407749999998</v>
      </c>
      <c r="N197" s="177">
        <f t="shared" si="25"/>
        <v>24897.652424999997</v>
      </c>
      <c r="O197" s="88"/>
    </row>
    <row r="198" spans="1:15" s="22" customFormat="1">
      <c r="H198" s="10"/>
    </row>
    <row r="199" spans="1:15" s="22" customFormat="1">
      <c r="H199" s="10"/>
    </row>
    <row r="200" spans="1:15" s="22" customFormat="1">
      <c r="A200" s="24" t="s">
        <v>61</v>
      </c>
      <c r="B200" s="24"/>
      <c r="C200" s="24"/>
      <c r="D200" s="24"/>
      <c r="E200" s="24"/>
      <c r="F200" s="24"/>
      <c r="G200" s="24"/>
      <c r="H200" s="24"/>
      <c r="I200" s="24"/>
      <c r="J200" s="24"/>
    </row>
    <row r="201" spans="1:15" s="22" customFormat="1">
      <c r="H201" s="10"/>
    </row>
    <row r="202" spans="1:15" s="22" customFormat="1">
      <c r="H202" s="10"/>
    </row>
    <row r="203" spans="1:15" s="22" customFormat="1">
      <c r="A203" s="22" t="s">
        <v>31</v>
      </c>
      <c r="H203" s="10"/>
    </row>
    <row r="204" spans="1:15" s="22" customFormat="1" ht="15.75" thickBot="1">
      <c r="H204" s="10"/>
    </row>
    <row r="205" spans="1:15" s="22" customFormat="1" ht="15.75" thickBot="1">
      <c r="B205" s="489" t="s">
        <v>289</v>
      </c>
      <c r="C205" s="490"/>
      <c r="D205" s="490"/>
      <c r="E205" s="490"/>
      <c r="F205" s="490"/>
      <c r="G205" s="490"/>
      <c r="H205" s="491" t="s">
        <v>302</v>
      </c>
      <c r="I205" s="492"/>
      <c r="J205" s="492"/>
      <c r="K205" s="492"/>
      <c r="L205" s="492"/>
      <c r="M205" s="493"/>
    </row>
    <row r="206" spans="1:15" s="22" customFormat="1" ht="30">
      <c r="A206" s="81" t="s">
        <v>3</v>
      </c>
      <c r="B206" s="81" t="s">
        <v>7</v>
      </c>
      <c r="C206" s="82" t="s">
        <v>34</v>
      </c>
      <c r="D206" s="82" t="s">
        <v>33</v>
      </c>
      <c r="E206" s="78" t="s">
        <v>300</v>
      </c>
      <c r="F206" s="81" t="s">
        <v>37</v>
      </c>
      <c r="G206" s="81" t="s">
        <v>14</v>
      </c>
      <c r="H206" s="81" t="s">
        <v>7</v>
      </c>
      <c r="I206" s="82" t="s">
        <v>34</v>
      </c>
      <c r="J206" s="82" t="s">
        <v>33</v>
      </c>
      <c r="K206" s="78" t="s">
        <v>300</v>
      </c>
      <c r="L206" s="81" t="s">
        <v>37</v>
      </c>
      <c r="M206" s="81" t="s">
        <v>14</v>
      </c>
      <c r="N206" s="173" t="s">
        <v>15</v>
      </c>
      <c r="O206" s="10"/>
    </row>
    <row r="207" spans="1:15" s="22" customFormat="1">
      <c r="A207" s="4" t="s">
        <v>49</v>
      </c>
      <c r="B207" s="39">
        <v>1383.94235</v>
      </c>
      <c r="C207" s="46">
        <v>426.42180000000002</v>
      </c>
      <c r="D207" s="39">
        <v>15.448300000000001</v>
      </c>
      <c r="E207" s="39">
        <v>6.28</v>
      </c>
      <c r="F207" s="40">
        <f>B207+C207+D207+E207</f>
        <v>1832.0924500000001</v>
      </c>
      <c r="G207" s="41">
        <v>1383.94235</v>
      </c>
      <c r="H207" s="39">
        <v>1387.351075</v>
      </c>
      <c r="I207" s="46">
        <v>427.47210000000001</v>
      </c>
      <c r="J207" s="39">
        <v>15.48635</v>
      </c>
      <c r="K207" s="39">
        <v>6.28</v>
      </c>
      <c r="L207" s="40">
        <f>H207+I207+J207+K207</f>
        <v>1836.5895249999999</v>
      </c>
      <c r="M207" s="41">
        <v>1387.351075</v>
      </c>
      <c r="N207" s="177">
        <f>(F207*6)+G207+(L207*6)+M207</f>
        <v>24783.385275000001</v>
      </c>
      <c r="O207" s="88"/>
    </row>
    <row r="208" spans="1:15" s="22" customFormat="1">
      <c r="A208" s="4" t="s">
        <v>51</v>
      </c>
      <c r="B208" s="39">
        <v>1383.94235</v>
      </c>
      <c r="C208" s="46">
        <v>320.65880000000004</v>
      </c>
      <c r="D208" s="39">
        <v>15.448300000000001</v>
      </c>
      <c r="E208" s="39">
        <v>6.28</v>
      </c>
      <c r="F208" s="40">
        <f t="shared" ref="F208:F210" si="26">B208+C208+D208+E208</f>
        <v>1726.32945</v>
      </c>
      <c r="G208" s="41">
        <v>1383.94235</v>
      </c>
      <c r="H208" s="39">
        <v>1387.351075</v>
      </c>
      <c r="I208" s="46">
        <v>321.4486</v>
      </c>
      <c r="J208" s="39">
        <v>15.48635</v>
      </c>
      <c r="K208" s="39">
        <v>6.28</v>
      </c>
      <c r="L208" s="40">
        <f t="shared" ref="L208:L210" si="27">H208+I208+J208+K208</f>
        <v>1730.5660249999999</v>
      </c>
      <c r="M208" s="41">
        <v>1387.351075</v>
      </c>
      <c r="N208" s="177">
        <f t="shared" ref="N208:N210" si="28">(F208*6)+G208+(L208*6)+M208</f>
        <v>23512.666274999996</v>
      </c>
      <c r="O208" s="88"/>
    </row>
    <row r="209" spans="1:15" s="22" customFormat="1">
      <c r="A209" s="4" t="s">
        <v>52</v>
      </c>
      <c r="B209" s="39">
        <v>1383.94235</v>
      </c>
      <c r="C209" s="46">
        <v>265.45294999999999</v>
      </c>
      <c r="D209" s="39">
        <v>15.448300000000001</v>
      </c>
      <c r="E209" s="39">
        <v>6.28</v>
      </c>
      <c r="F209" s="40">
        <f t="shared" si="26"/>
        <v>1671.1236000000001</v>
      </c>
      <c r="G209" s="41">
        <v>1383.94235</v>
      </c>
      <c r="H209" s="39">
        <v>1387.351075</v>
      </c>
      <c r="I209" s="46">
        <v>266.10000000000002</v>
      </c>
      <c r="J209" s="39">
        <v>15.48635</v>
      </c>
      <c r="K209" s="39">
        <v>6.28</v>
      </c>
      <c r="L209" s="40">
        <f t="shared" si="27"/>
        <v>1675.2174249999998</v>
      </c>
      <c r="M209" s="41">
        <v>1387.351075</v>
      </c>
      <c r="N209" s="177">
        <f t="shared" si="28"/>
        <v>22849.339574999998</v>
      </c>
      <c r="O209" s="88"/>
    </row>
    <row r="210" spans="1:15" s="22" customFormat="1">
      <c r="A210" s="4" t="s">
        <v>53</v>
      </c>
      <c r="B210" s="39">
        <v>1383.94235</v>
      </c>
      <c r="C210" s="46">
        <v>206.12619999999998</v>
      </c>
      <c r="D210" s="39">
        <v>15.448300000000001</v>
      </c>
      <c r="E210" s="39">
        <v>6.28</v>
      </c>
      <c r="F210" s="40">
        <f t="shared" si="26"/>
        <v>1611.7968499999999</v>
      </c>
      <c r="G210" s="41">
        <v>1383.94235</v>
      </c>
      <c r="H210" s="39">
        <v>1387.351075</v>
      </c>
      <c r="I210" s="46">
        <v>206.64</v>
      </c>
      <c r="J210" s="39">
        <v>15.48635</v>
      </c>
      <c r="K210" s="39">
        <v>6.28</v>
      </c>
      <c r="L210" s="40">
        <f t="shared" si="27"/>
        <v>1615.7574249999998</v>
      </c>
      <c r="M210" s="41">
        <v>1387.351075</v>
      </c>
      <c r="N210" s="177">
        <f t="shared" si="28"/>
        <v>22136.619074999995</v>
      </c>
      <c r="O210" s="88"/>
    </row>
    <row r="211" spans="1:15" s="22" customFormat="1">
      <c r="A211" s="10"/>
      <c r="B211" s="10"/>
      <c r="C211" s="10"/>
      <c r="D211" s="10"/>
      <c r="E211" s="74"/>
      <c r="F211" s="10"/>
      <c r="G211" s="10"/>
      <c r="H211" s="10"/>
    </row>
    <row r="212" spans="1:15" s="22" customFormat="1">
      <c r="H212" s="10"/>
    </row>
    <row r="213" spans="1:15" s="22" customFormat="1" ht="18.75">
      <c r="A213" s="17" t="s">
        <v>294</v>
      </c>
      <c r="H213" s="10"/>
    </row>
    <row r="214" spans="1:15" s="22" customFormat="1" ht="15.75" thickBot="1">
      <c r="H214" s="10"/>
    </row>
    <row r="215" spans="1:15" ht="15.75" thickBot="1">
      <c r="C215" s="139" t="s">
        <v>296</v>
      </c>
      <c r="D215" s="143" t="s">
        <v>295</v>
      </c>
    </row>
    <row r="216" spans="1:15">
      <c r="B216" s="83" t="s">
        <v>2</v>
      </c>
      <c r="C216" s="80" t="s">
        <v>26</v>
      </c>
      <c r="D216" s="142" t="s">
        <v>26</v>
      </c>
    </row>
    <row r="217" spans="1:15">
      <c r="B217" s="75" t="s">
        <v>27</v>
      </c>
      <c r="C217" s="14">
        <v>57.448999999999998</v>
      </c>
      <c r="D217" s="94">
        <v>57.590499999999999</v>
      </c>
      <c r="E217" s="88"/>
    </row>
    <row r="218" spans="1:15">
      <c r="B218" s="75" t="s">
        <v>28</v>
      </c>
      <c r="C218" s="14">
        <v>48.0501</v>
      </c>
      <c r="D218" s="94">
        <v>48.16845</v>
      </c>
      <c r="E218" s="88"/>
    </row>
    <row r="219" spans="1:15">
      <c r="B219" s="75" t="s">
        <v>29</v>
      </c>
      <c r="C219" s="14">
        <v>48.0501</v>
      </c>
      <c r="D219" s="94">
        <v>48.16845</v>
      </c>
      <c r="E219" s="88"/>
    </row>
    <row r="220" spans="1:15" ht="15.75" thickBot="1">
      <c r="B220" s="95" t="s">
        <v>30</v>
      </c>
      <c r="C220" s="19">
        <v>48.0501</v>
      </c>
      <c r="D220" s="96">
        <v>48.16845</v>
      </c>
      <c r="E220" s="88"/>
    </row>
    <row r="221" spans="1:15">
      <c r="B221" s="31"/>
      <c r="C221" s="31"/>
    </row>
    <row r="223" spans="1:15" s="22" customFormat="1">
      <c r="B223" s="45"/>
      <c r="C223" s="11"/>
      <c r="D223" s="11"/>
    </row>
    <row r="224" spans="1:15" s="22" customFormat="1">
      <c r="B224" s="45"/>
      <c r="C224" s="11"/>
      <c r="D224" s="11"/>
    </row>
    <row r="225" spans="1:16" ht="18.75">
      <c r="A225" s="17" t="s">
        <v>351</v>
      </c>
    </row>
    <row r="226" spans="1:16" ht="15.75" thickBot="1"/>
    <row r="227" spans="1:16" s="22" customFormat="1" ht="15.75" thickBot="1">
      <c r="C227" s="720" t="s">
        <v>291</v>
      </c>
      <c r="D227" s="721"/>
      <c r="E227" s="713" t="s">
        <v>295</v>
      </c>
      <c r="F227" s="714"/>
    </row>
    <row r="228" spans="1:16" s="22" customFormat="1" ht="15.75" thickBot="1">
      <c r="B228" s="716" t="s">
        <v>62</v>
      </c>
      <c r="C228" s="717"/>
      <c r="D228" s="131" t="s">
        <v>63</v>
      </c>
      <c r="E228" s="132" t="s">
        <v>62</v>
      </c>
      <c r="F228" s="133" t="s">
        <v>63</v>
      </c>
    </row>
    <row r="229" spans="1:16" s="22" customFormat="1">
      <c r="B229" s="37" t="s">
        <v>27</v>
      </c>
      <c r="C229" s="97">
        <v>11.94655</v>
      </c>
      <c r="D229" s="94">
        <v>28.024149999999999</v>
      </c>
      <c r="E229" s="119">
        <v>11.975975</v>
      </c>
      <c r="F229" s="122">
        <v>28.093174999999999</v>
      </c>
      <c r="G229" s="88"/>
    </row>
    <row r="230" spans="1:16" s="22" customFormat="1">
      <c r="B230" s="37" t="s">
        <v>28</v>
      </c>
      <c r="C230" s="97">
        <v>10.698099999999998</v>
      </c>
      <c r="D230" s="94">
        <v>24.6036</v>
      </c>
      <c r="E230" s="97">
        <v>10.73</v>
      </c>
      <c r="F230" s="94">
        <v>24.664199999999997</v>
      </c>
      <c r="G230" s="88"/>
    </row>
    <row r="231" spans="1:16" s="22" customFormat="1">
      <c r="B231" s="37" t="s">
        <v>29</v>
      </c>
      <c r="C231" s="97">
        <v>9.4395000000000007</v>
      </c>
      <c r="D231" s="94">
        <v>21.294699999999999</v>
      </c>
      <c r="E231" s="97">
        <v>9.4627500000000015</v>
      </c>
      <c r="F231" s="94">
        <v>21.34</v>
      </c>
      <c r="G231" s="88"/>
    </row>
    <row r="232" spans="1:16" s="22" customFormat="1" ht="15.75" thickBot="1">
      <c r="B232" s="38" t="s">
        <v>30</v>
      </c>
      <c r="C232" s="98">
        <v>7.86625</v>
      </c>
      <c r="D232" s="96">
        <v>17.955350000000003</v>
      </c>
      <c r="E232" s="98">
        <v>7.8856250000000001</v>
      </c>
      <c r="F232" s="96">
        <v>17.999575</v>
      </c>
      <c r="G232" s="88"/>
    </row>
    <row r="233" spans="1:16">
      <c r="B233" s="22"/>
      <c r="C233" s="22"/>
      <c r="D233" s="22"/>
    </row>
    <row r="235" spans="1:16" ht="21">
      <c r="A235" s="523" t="s">
        <v>297</v>
      </c>
      <c r="B235" s="523"/>
      <c r="C235" s="523"/>
      <c r="D235" s="523"/>
      <c r="E235" s="523"/>
      <c r="F235" s="523"/>
      <c r="G235" s="523"/>
      <c r="H235" s="523"/>
      <c r="I235" s="523"/>
      <c r="J235" s="523"/>
      <c r="K235" s="523"/>
      <c r="L235" s="523"/>
      <c r="M235" s="523"/>
      <c r="N235" s="523"/>
      <c r="O235" s="523"/>
      <c r="P235" s="523"/>
    </row>
    <row r="236" spans="1:16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</row>
    <row r="237" spans="1:16">
      <c r="A237" s="66" t="s">
        <v>254</v>
      </c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</row>
    <row r="238" spans="1:16" s="22" customFormat="1" ht="15.75" thickBot="1">
      <c r="A238" s="66"/>
    </row>
    <row r="239" spans="1:16" ht="15.75" thickBot="1">
      <c r="A239" s="22"/>
      <c r="B239" s="22"/>
      <c r="C239" s="711" t="s">
        <v>291</v>
      </c>
      <c r="D239" s="712"/>
      <c r="E239" s="713" t="s">
        <v>295</v>
      </c>
      <c r="F239" s="714"/>
      <c r="G239" s="179"/>
      <c r="H239" s="179"/>
      <c r="I239" s="22"/>
      <c r="J239" s="22"/>
      <c r="K239" s="22"/>
      <c r="L239" s="22"/>
    </row>
    <row r="240" spans="1:16" ht="15.75" thickBot="1">
      <c r="A240" s="76" t="s">
        <v>68</v>
      </c>
      <c r="B240" s="111" t="s">
        <v>2</v>
      </c>
      <c r="C240" s="153" t="s">
        <v>7</v>
      </c>
      <c r="D240" s="154" t="s">
        <v>300</v>
      </c>
      <c r="E240" s="155" t="s">
        <v>7</v>
      </c>
      <c r="F240" s="180" t="s">
        <v>300</v>
      </c>
      <c r="G240" s="181" t="s">
        <v>15</v>
      </c>
      <c r="H240" s="22"/>
      <c r="I240" s="22"/>
      <c r="J240" s="22"/>
      <c r="K240" s="22"/>
      <c r="L240" s="22"/>
      <c r="M240" s="22"/>
      <c r="N240" s="22"/>
      <c r="O240" s="22"/>
    </row>
    <row r="241" spans="1:15">
      <c r="A241" s="5" t="s">
        <v>255</v>
      </c>
      <c r="B241" s="140">
        <v>1</v>
      </c>
      <c r="C241" s="151">
        <v>2727.24</v>
      </c>
      <c r="D241" s="178">
        <v>6.28</v>
      </c>
      <c r="E241" s="151">
        <v>2733.96</v>
      </c>
      <c r="F241" s="178">
        <v>6.28</v>
      </c>
      <c r="G241" s="152">
        <f>(C241*6)+(E241*6)+F241*12</f>
        <v>32842.559999999998</v>
      </c>
      <c r="H241" s="88"/>
      <c r="I241" s="22"/>
      <c r="J241" s="22"/>
      <c r="K241" s="22"/>
      <c r="L241" s="22"/>
      <c r="M241" s="22"/>
      <c r="N241" s="22"/>
      <c r="O241" s="22"/>
    </row>
    <row r="242" spans="1:15">
      <c r="A242" s="5" t="s">
        <v>256</v>
      </c>
      <c r="B242" s="140">
        <v>2</v>
      </c>
      <c r="C242" s="128">
        <v>2395.86</v>
      </c>
      <c r="D242" s="39">
        <v>6.28</v>
      </c>
      <c r="E242" s="128">
        <v>2401.7600000000002</v>
      </c>
      <c r="F242" s="39">
        <v>6.28</v>
      </c>
      <c r="G242" s="152">
        <f>(C242*6)+(E242*6)+F242*12</f>
        <v>28861.08</v>
      </c>
      <c r="H242" s="88"/>
      <c r="I242" s="22"/>
      <c r="J242" s="22"/>
      <c r="K242" s="22"/>
      <c r="L242" s="22"/>
      <c r="M242" s="22"/>
      <c r="N242" s="22"/>
      <c r="O242" s="22"/>
    </row>
    <row r="243" spans="1:15">
      <c r="A243" s="5" t="s">
        <v>257</v>
      </c>
      <c r="B243" s="140">
        <v>3</v>
      </c>
      <c r="C243" s="128">
        <v>2117.4499999999998</v>
      </c>
      <c r="D243" s="39">
        <v>6.28</v>
      </c>
      <c r="E243" s="128">
        <v>2122.67</v>
      </c>
      <c r="F243" s="39">
        <v>6.28</v>
      </c>
      <c r="G243" s="152">
        <f>(C243*6)+(E243*6)+F243*12</f>
        <v>25516.080000000002</v>
      </c>
      <c r="H243" s="88"/>
      <c r="I243" s="22"/>
      <c r="J243" s="22"/>
      <c r="K243" s="22"/>
      <c r="L243" s="22"/>
      <c r="M243" s="22"/>
      <c r="N243" s="22"/>
      <c r="O243" s="22"/>
    </row>
    <row r="244" spans="1:15" ht="15.75" thickBot="1">
      <c r="A244" s="6" t="s">
        <v>258</v>
      </c>
      <c r="B244" s="141">
        <v>4</v>
      </c>
      <c r="C244" s="129">
        <v>1836.15</v>
      </c>
      <c r="D244" s="103">
        <v>6.28</v>
      </c>
      <c r="E244" s="129">
        <v>1840.67</v>
      </c>
      <c r="F244" s="103">
        <v>6.28</v>
      </c>
      <c r="G244" s="152">
        <f>(C244*6)+(E244*6)+F244*12</f>
        <v>22136.280000000002</v>
      </c>
      <c r="H244" s="88"/>
      <c r="I244" s="22"/>
      <c r="J244" s="22"/>
      <c r="K244" s="22"/>
      <c r="L244" s="22"/>
      <c r="M244" s="22"/>
      <c r="N244" s="22"/>
      <c r="O244" s="22"/>
    </row>
    <row r="245" spans="1: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</row>
    <row r="246" spans="1: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</row>
    <row r="247" spans="1:15" ht="18.75">
      <c r="A247" s="17" t="s">
        <v>350</v>
      </c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</row>
    <row r="248" spans="1:15" ht="15.75" thickBo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</row>
    <row r="249" spans="1:15" ht="15.75" thickBot="1">
      <c r="A249" s="22"/>
      <c r="B249" s="22"/>
      <c r="C249" s="121" t="s">
        <v>291</v>
      </c>
      <c r="D249" s="143" t="s">
        <v>295</v>
      </c>
      <c r="E249" s="22"/>
      <c r="F249" s="22"/>
      <c r="G249" s="22"/>
      <c r="H249" s="22"/>
      <c r="I249" s="22"/>
      <c r="J249" s="22"/>
      <c r="K249" s="22"/>
      <c r="L249" s="22"/>
    </row>
    <row r="250" spans="1:15">
      <c r="A250" s="22"/>
      <c r="B250" s="90" t="s">
        <v>2</v>
      </c>
      <c r="C250" s="136" t="s">
        <v>287</v>
      </c>
      <c r="D250" s="142" t="s">
        <v>287</v>
      </c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1:15">
      <c r="A251" s="22"/>
      <c r="B251" s="51" t="s">
        <v>27</v>
      </c>
      <c r="C251" s="137">
        <v>67.02</v>
      </c>
      <c r="D251" s="94">
        <v>67.19</v>
      </c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1:15">
      <c r="A252" s="22"/>
      <c r="B252" s="51" t="s">
        <v>28</v>
      </c>
      <c r="C252" s="137">
        <v>56.06</v>
      </c>
      <c r="D252" s="94">
        <v>56.2</v>
      </c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1:15">
      <c r="A253" s="22"/>
      <c r="B253" s="51" t="s">
        <v>29</v>
      </c>
      <c r="C253" s="137">
        <v>56.06</v>
      </c>
      <c r="D253" s="94">
        <v>56.2</v>
      </c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1:15" ht="15.75" thickBot="1">
      <c r="A254" s="22"/>
      <c r="B254" s="55" t="s">
        <v>30</v>
      </c>
      <c r="C254" s="138">
        <v>56.06</v>
      </c>
      <c r="D254" s="96">
        <v>56.2</v>
      </c>
      <c r="E254" s="22"/>
      <c r="F254" s="22"/>
      <c r="G254" s="22"/>
      <c r="H254" s="22"/>
      <c r="I254" s="22"/>
      <c r="J254" s="22"/>
      <c r="K254" s="22"/>
      <c r="L254" s="22"/>
      <c r="M254" s="22"/>
    </row>
    <row r="260" spans="1:16" ht="21">
      <c r="A260" s="523" t="s">
        <v>352</v>
      </c>
      <c r="B260" s="523"/>
      <c r="C260" s="523"/>
      <c r="D260" s="523"/>
      <c r="E260" s="523"/>
      <c r="F260" s="523"/>
      <c r="G260" s="523"/>
      <c r="H260" s="523"/>
      <c r="I260" s="523"/>
      <c r="J260" s="523"/>
      <c r="K260" s="523"/>
      <c r="L260" s="523"/>
      <c r="M260" s="523"/>
      <c r="N260" s="523"/>
      <c r="O260" s="523"/>
      <c r="P260" s="523"/>
    </row>
    <row r="261" spans="1:16" s="31" customFormat="1" ht="21">
      <c r="A261" s="425"/>
      <c r="B261" s="425"/>
      <c r="C261" s="425"/>
      <c r="D261" s="425"/>
      <c r="E261" s="425"/>
      <c r="F261" s="425"/>
      <c r="G261" s="425"/>
      <c r="H261" s="425"/>
      <c r="I261" s="425"/>
      <c r="J261" s="425"/>
      <c r="K261" s="425"/>
      <c r="L261" s="425"/>
      <c r="M261" s="425"/>
      <c r="N261" s="425"/>
      <c r="O261" s="425"/>
      <c r="P261" s="425"/>
    </row>
    <row r="262" spans="1:16" ht="15.75" thickBot="1"/>
    <row r="263" spans="1:16" ht="15.75" thickBot="1">
      <c r="B263" s="90" t="s">
        <v>2</v>
      </c>
      <c r="C263" s="142" t="s">
        <v>15</v>
      </c>
    </row>
    <row r="264" spans="1:16">
      <c r="B264" s="426" t="s">
        <v>345</v>
      </c>
      <c r="C264" s="427">
        <v>15789.75</v>
      </c>
    </row>
    <row r="265" spans="1:16">
      <c r="B265" s="51" t="s">
        <v>346</v>
      </c>
      <c r="C265" s="428">
        <v>18421.38</v>
      </c>
    </row>
    <row r="266" spans="1:16">
      <c r="B266" s="51" t="s">
        <v>347</v>
      </c>
      <c r="C266" s="429">
        <v>21053</v>
      </c>
    </row>
    <row r="267" spans="1:16" ht="15.75" thickBot="1">
      <c r="B267" s="55" t="s">
        <v>348</v>
      </c>
      <c r="C267" s="430">
        <v>23684.63</v>
      </c>
    </row>
  </sheetData>
  <mergeCells count="32">
    <mergeCell ref="A2:P2"/>
    <mergeCell ref="A122:P122"/>
    <mergeCell ref="A235:P235"/>
    <mergeCell ref="A260:P260"/>
    <mergeCell ref="B161:G161"/>
    <mergeCell ref="H161:M161"/>
    <mergeCell ref="B186:G186"/>
    <mergeCell ref="H129:M129"/>
    <mergeCell ref="J66:O66"/>
    <mergeCell ref="J81:O81"/>
    <mergeCell ref="C113:D113"/>
    <mergeCell ref="E113:F113"/>
    <mergeCell ref="J16:O16"/>
    <mergeCell ref="D11:I11"/>
    <mergeCell ref="J11:O11"/>
    <mergeCell ref="D33:I33"/>
    <mergeCell ref="C239:D239"/>
    <mergeCell ref="E239:F239"/>
    <mergeCell ref="H205:M205"/>
    <mergeCell ref="J33:O33"/>
    <mergeCell ref="D16:I16"/>
    <mergeCell ref="B228:C228"/>
    <mergeCell ref="B114:C114"/>
    <mergeCell ref="C227:D227"/>
    <mergeCell ref="B129:G129"/>
    <mergeCell ref="E227:F227"/>
    <mergeCell ref="B135:G135"/>
    <mergeCell ref="D66:I66"/>
    <mergeCell ref="D81:I81"/>
    <mergeCell ref="H135:M135"/>
    <mergeCell ref="B205:G205"/>
    <mergeCell ref="H186:M186"/>
  </mergeCells>
  <pageMargins left="0.7" right="0.7" top="0.75" bottom="0.75" header="0.3" footer="0.3"/>
  <pageSetup paperSize="9" scale="63" fitToHeight="0" orientation="landscape" r:id="rId1"/>
  <rowBreaks count="5" manualBreakCount="5">
    <brk id="57" max="10" man="1"/>
    <brk id="88" max="10" man="1"/>
    <brk id="120" max="10" man="1"/>
    <brk id="179" max="10" man="1"/>
    <brk id="21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28"/>
  <sheetViews>
    <sheetView showGridLines="0" zoomScale="80" zoomScaleNormal="80" workbookViewId="0">
      <selection activeCell="I10" sqref="I10"/>
    </sheetView>
  </sheetViews>
  <sheetFormatPr defaultColWidth="9.140625" defaultRowHeight="15"/>
  <cols>
    <col min="1" max="1" width="37" style="22" bestFit="1" customWidth="1"/>
    <col min="2" max="6" width="11" style="22" customWidth="1"/>
    <col min="7" max="7" width="19" style="22" customWidth="1"/>
    <col min="8" max="12" width="11" style="22" customWidth="1"/>
    <col min="13" max="13" width="19" style="22" customWidth="1"/>
    <col min="14" max="16384" width="9.140625" style="22"/>
  </cols>
  <sheetData>
    <row r="1" spans="1:14" ht="15.75" thickBot="1"/>
    <row r="2" spans="1:14" ht="15.75">
      <c r="A2" s="62"/>
      <c r="B2" s="724" t="s">
        <v>339</v>
      </c>
      <c r="C2" s="725"/>
      <c r="D2" s="725"/>
      <c r="E2" s="725"/>
      <c r="F2" s="725"/>
      <c r="G2" s="725"/>
      <c r="H2" s="725"/>
      <c r="I2" s="725"/>
      <c r="J2" s="725"/>
      <c r="K2" s="725"/>
      <c r="L2" s="725"/>
      <c r="M2" s="726"/>
    </row>
    <row r="3" spans="1:14" ht="15" customHeight="1" thickBot="1">
      <c r="A3" s="62"/>
      <c r="B3" s="727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9"/>
      <c r="N3" s="33"/>
    </row>
    <row r="4" spans="1:14" ht="15.75" customHeight="1">
      <c r="A4" s="730"/>
      <c r="B4" s="486" t="s">
        <v>213</v>
      </c>
      <c r="C4" s="475"/>
      <c r="D4" s="475"/>
      <c r="E4" s="475"/>
      <c r="F4" s="475"/>
      <c r="G4" s="468"/>
      <c r="H4" s="512" t="s">
        <v>214</v>
      </c>
      <c r="I4" s="461"/>
      <c r="J4" s="461"/>
      <c r="K4" s="461"/>
      <c r="L4" s="461"/>
      <c r="M4" s="466"/>
      <c r="N4" s="33"/>
    </row>
    <row r="5" spans="1:14">
      <c r="A5" s="730"/>
      <c r="B5" s="469"/>
      <c r="C5" s="476"/>
      <c r="D5" s="476"/>
      <c r="E5" s="476"/>
      <c r="F5" s="476"/>
      <c r="G5" s="470"/>
      <c r="H5" s="734"/>
      <c r="I5" s="464"/>
      <c r="J5" s="464"/>
      <c r="K5" s="464"/>
      <c r="L5" s="464"/>
      <c r="M5" s="467"/>
    </row>
    <row r="6" spans="1:14" ht="15.75" thickBot="1">
      <c r="A6" s="730"/>
      <c r="B6" s="731"/>
      <c r="C6" s="732"/>
      <c r="D6" s="732"/>
      <c r="E6" s="732"/>
      <c r="F6" s="732"/>
      <c r="G6" s="733"/>
      <c r="H6" s="735"/>
      <c r="I6" s="736"/>
      <c r="J6" s="736"/>
      <c r="K6" s="736"/>
      <c r="L6" s="736"/>
      <c r="M6" s="737"/>
    </row>
    <row r="7" spans="1:14" ht="30.75" thickBot="1">
      <c r="A7" s="187"/>
      <c r="B7" s="326" t="s">
        <v>215</v>
      </c>
      <c r="C7" s="324" t="s">
        <v>216</v>
      </c>
      <c r="D7" s="324" t="s">
        <v>217</v>
      </c>
      <c r="E7" s="324" t="s">
        <v>218</v>
      </c>
      <c r="F7" s="324" t="s">
        <v>219</v>
      </c>
      <c r="G7" s="325" t="s">
        <v>220</v>
      </c>
      <c r="H7" s="326" t="s">
        <v>221</v>
      </c>
      <c r="I7" s="327" t="s">
        <v>216</v>
      </c>
      <c r="J7" s="327" t="s">
        <v>217</v>
      </c>
      <c r="K7" s="327" t="s">
        <v>218</v>
      </c>
      <c r="L7" s="327" t="s">
        <v>219</v>
      </c>
      <c r="M7" s="325" t="s">
        <v>222</v>
      </c>
    </row>
    <row r="8" spans="1:14" ht="34.5" customHeight="1">
      <c r="A8" s="318" t="s">
        <v>249</v>
      </c>
      <c r="B8" s="312" t="s">
        <v>223</v>
      </c>
      <c r="C8" s="310" t="s">
        <v>224</v>
      </c>
      <c r="D8" s="310" t="s">
        <v>122</v>
      </c>
      <c r="E8" s="310" t="s">
        <v>122</v>
      </c>
      <c r="F8" s="310" t="s">
        <v>225</v>
      </c>
      <c r="G8" s="313" t="s">
        <v>226</v>
      </c>
      <c r="H8" s="312" t="s">
        <v>227</v>
      </c>
      <c r="I8" s="310" t="s">
        <v>122</v>
      </c>
      <c r="J8" s="310" t="s">
        <v>122</v>
      </c>
      <c r="K8" s="310" t="s">
        <v>122</v>
      </c>
      <c r="L8" s="310" t="s">
        <v>228</v>
      </c>
      <c r="M8" s="313" t="s">
        <v>229</v>
      </c>
    </row>
    <row r="9" spans="1:14" ht="30" customHeight="1">
      <c r="A9" s="319" t="s">
        <v>230</v>
      </c>
      <c r="B9" s="312" t="s">
        <v>231</v>
      </c>
      <c r="C9" s="310" t="s">
        <v>232</v>
      </c>
      <c r="D9" s="310" t="s">
        <v>122</v>
      </c>
      <c r="E9" s="310" t="s">
        <v>122</v>
      </c>
      <c r="F9" s="310" t="s">
        <v>122</v>
      </c>
      <c r="G9" s="313" t="s">
        <v>340</v>
      </c>
      <c r="H9" s="312" t="s">
        <v>227</v>
      </c>
      <c r="I9" s="310" t="s">
        <v>122</v>
      </c>
      <c r="J9" s="310" t="s">
        <v>122</v>
      </c>
      <c r="K9" s="310" t="s">
        <v>122</v>
      </c>
      <c r="L9" s="310" t="s">
        <v>122</v>
      </c>
      <c r="M9" s="313" t="s">
        <v>227</v>
      </c>
    </row>
    <row r="10" spans="1:14" ht="30" customHeight="1">
      <c r="A10" s="319" t="s">
        <v>233</v>
      </c>
      <c r="B10" s="312" t="s">
        <v>231</v>
      </c>
      <c r="C10" s="310" t="s">
        <v>224</v>
      </c>
      <c r="D10" s="310" t="s">
        <v>234</v>
      </c>
      <c r="E10" s="310" t="s">
        <v>122</v>
      </c>
      <c r="F10" s="310" t="s">
        <v>225</v>
      </c>
      <c r="G10" s="313" t="s">
        <v>235</v>
      </c>
      <c r="H10" s="312" t="s">
        <v>227</v>
      </c>
      <c r="I10" s="310" t="s">
        <v>122</v>
      </c>
      <c r="J10" s="310" t="s">
        <v>236</v>
      </c>
      <c r="K10" s="310" t="s">
        <v>122</v>
      </c>
      <c r="L10" s="310" t="s">
        <v>228</v>
      </c>
      <c r="M10" s="313" t="s">
        <v>237</v>
      </c>
    </row>
    <row r="11" spans="1:14" ht="30.75" customHeight="1">
      <c r="A11" s="319" t="s">
        <v>239</v>
      </c>
      <c r="B11" s="312" t="s">
        <v>231</v>
      </c>
      <c r="C11" s="310" t="s">
        <v>224</v>
      </c>
      <c r="D11" s="310" t="s">
        <v>234</v>
      </c>
      <c r="E11" s="310" t="s">
        <v>238</v>
      </c>
      <c r="F11" s="310" t="s">
        <v>225</v>
      </c>
      <c r="G11" s="313" t="s">
        <v>240</v>
      </c>
      <c r="H11" s="312" t="s">
        <v>227</v>
      </c>
      <c r="I11" s="310" t="s">
        <v>122</v>
      </c>
      <c r="J11" s="310" t="s">
        <v>236</v>
      </c>
      <c r="K11" s="310" t="s">
        <v>122</v>
      </c>
      <c r="L11" s="310" t="s">
        <v>228</v>
      </c>
      <c r="M11" s="313" t="s">
        <v>237</v>
      </c>
    </row>
    <row r="12" spans="1:14" ht="29.25" customHeight="1">
      <c r="A12" s="320" t="s">
        <v>342</v>
      </c>
      <c r="B12" s="312" t="s">
        <v>231</v>
      </c>
      <c r="C12" s="310" t="s">
        <v>224</v>
      </c>
      <c r="D12" s="310" t="s">
        <v>241</v>
      </c>
      <c r="E12" s="310" t="s">
        <v>238</v>
      </c>
      <c r="F12" s="310" t="s">
        <v>225</v>
      </c>
      <c r="G12" s="313" t="s">
        <v>242</v>
      </c>
      <c r="H12" s="312" t="s">
        <v>227</v>
      </c>
      <c r="I12" s="310" t="s">
        <v>122</v>
      </c>
      <c r="J12" s="310" t="s">
        <v>243</v>
      </c>
      <c r="K12" s="310" t="s">
        <v>122</v>
      </c>
      <c r="L12" s="310" t="s">
        <v>228</v>
      </c>
      <c r="M12" s="313" t="s">
        <v>244</v>
      </c>
    </row>
    <row r="13" spans="1:14" ht="30">
      <c r="A13" s="321" t="s">
        <v>246</v>
      </c>
      <c r="B13" s="314">
        <v>0.16520000000000001</v>
      </c>
      <c r="C13" s="311" t="s">
        <v>224</v>
      </c>
      <c r="D13" s="311" t="s">
        <v>241</v>
      </c>
      <c r="E13" s="311" t="s">
        <v>238</v>
      </c>
      <c r="F13" s="311" t="s">
        <v>225</v>
      </c>
      <c r="G13" s="313" t="s">
        <v>245</v>
      </c>
      <c r="H13" s="323" t="s">
        <v>227</v>
      </c>
      <c r="I13" s="310" t="s">
        <v>122</v>
      </c>
      <c r="J13" s="311" t="s">
        <v>243</v>
      </c>
      <c r="K13" s="310" t="s">
        <v>122</v>
      </c>
      <c r="L13" s="310" t="s">
        <v>228</v>
      </c>
      <c r="M13" s="313" t="s">
        <v>244</v>
      </c>
    </row>
    <row r="14" spans="1:14" ht="30.75" thickBot="1">
      <c r="A14" s="322" t="s">
        <v>247</v>
      </c>
      <c r="B14" s="315" t="s">
        <v>250</v>
      </c>
      <c r="C14" s="316" t="s">
        <v>248</v>
      </c>
      <c r="D14" s="316" t="s">
        <v>122</v>
      </c>
      <c r="E14" s="316" t="s">
        <v>122</v>
      </c>
      <c r="F14" s="316" t="s">
        <v>122</v>
      </c>
      <c r="G14" s="317" t="s">
        <v>251</v>
      </c>
      <c r="H14" s="315" t="s">
        <v>252</v>
      </c>
      <c r="I14" s="316" t="s">
        <v>122</v>
      </c>
      <c r="J14" s="316" t="s">
        <v>122</v>
      </c>
      <c r="K14" s="316" t="s">
        <v>122</v>
      </c>
      <c r="L14" s="316" t="s">
        <v>122</v>
      </c>
      <c r="M14" s="317" t="s">
        <v>253</v>
      </c>
    </row>
    <row r="17" spans="1:14" ht="15.75" thickBot="1"/>
    <row r="18" spans="1:14">
      <c r="A18" s="328" t="s">
        <v>261</v>
      </c>
      <c r="B18" s="330">
        <v>3751.2</v>
      </c>
    </row>
    <row r="19" spans="1:14" ht="15.75" thickBot="1">
      <c r="A19" s="329" t="s">
        <v>327</v>
      </c>
      <c r="B19" s="331">
        <v>3803.7</v>
      </c>
      <c r="I19" s="31"/>
      <c r="J19" s="31"/>
      <c r="K19" s="31"/>
      <c r="L19" s="31"/>
      <c r="M19" s="31"/>
      <c r="N19" s="31"/>
    </row>
    <row r="20" spans="1:14">
      <c r="I20" s="31"/>
      <c r="J20" s="31"/>
      <c r="K20" s="31"/>
      <c r="L20" s="31"/>
      <c r="M20" s="31"/>
      <c r="N20" s="31"/>
    </row>
    <row r="21" spans="1:14" ht="15" customHeight="1">
      <c r="B21" s="741" t="s">
        <v>328</v>
      </c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31"/>
    </row>
    <row r="22" spans="1:14" ht="18.75" customHeight="1">
      <c r="B22" s="741"/>
      <c r="C22" s="741"/>
      <c r="D22" s="741"/>
      <c r="E22" s="741"/>
      <c r="F22" s="741"/>
      <c r="G22" s="741"/>
      <c r="H22" s="741"/>
      <c r="I22" s="741"/>
      <c r="J22" s="741"/>
      <c r="K22" s="741"/>
      <c r="L22" s="741"/>
      <c r="M22" s="741"/>
      <c r="N22" s="31"/>
    </row>
    <row r="23" spans="1:14">
      <c r="I23" s="31"/>
      <c r="J23" s="31"/>
      <c r="K23" s="31"/>
      <c r="L23" s="31"/>
      <c r="M23" s="31"/>
      <c r="N23" s="31"/>
    </row>
    <row r="24" spans="1:14" ht="15.75" thickBot="1">
      <c r="I24" s="31"/>
      <c r="J24" s="31"/>
      <c r="K24" s="31"/>
      <c r="L24" s="31"/>
      <c r="M24" s="31"/>
      <c r="N24" s="31"/>
    </row>
    <row r="25" spans="1:14">
      <c r="B25" s="738" t="s">
        <v>329</v>
      </c>
      <c r="C25" s="739"/>
      <c r="D25" s="740"/>
      <c r="E25" s="332">
        <v>48.99</v>
      </c>
      <c r="I25" s="31"/>
      <c r="J25" s="31"/>
      <c r="K25" s="31"/>
      <c r="L25" s="31"/>
      <c r="M25" s="31"/>
      <c r="N25" s="31"/>
    </row>
    <row r="26" spans="1:14" ht="15.75" thickBot="1">
      <c r="B26" s="334" t="s">
        <v>330</v>
      </c>
      <c r="C26" s="335"/>
      <c r="D26" s="336"/>
      <c r="E26" s="333">
        <v>111.9</v>
      </c>
      <c r="I26" s="31"/>
      <c r="J26" s="31"/>
      <c r="K26" s="31"/>
      <c r="L26" s="31"/>
      <c r="M26" s="31"/>
      <c r="N26" s="31"/>
    </row>
    <row r="27" spans="1:14">
      <c r="I27" s="31"/>
      <c r="J27" s="31"/>
      <c r="K27" s="31"/>
      <c r="L27" s="31"/>
      <c r="M27" s="31"/>
      <c r="N27" s="31"/>
    </row>
    <row r="28" spans="1:14">
      <c r="I28" s="31"/>
      <c r="J28" s="31"/>
      <c r="K28" s="31"/>
      <c r="L28" s="31"/>
      <c r="M28" s="31"/>
      <c r="N28" s="31"/>
    </row>
  </sheetData>
  <mergeCells count="6">
    <mergeCell ref="B2:M3"/>
    <mergeCell ref="A4:A6"/>
    <mergeCell ref="B4:G6"/>
    <mergeCell ref="H4:M6"/>
    <mergeCell ref="B25:D25"/>
    <mergeCell ref="B21:M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6</vt:i4>
      </vt:variant>
    </vt:vector>
  </HeadingPairs>
  <TitlesOfParts>
    <vt:vector size="12" baseType="lpstr">
      <vt:lpstr>PDI</vt:lpstr>
      <vt:lpstr>CÀRRECS ACADÈMICS</vt:lpstr>
      <vt:lpstr>MÈRITS I TRAMS</vt:lpstr>
      <vt:lpstr>INVESTIGADORS</vt:lpstr>
      <vt:lpstr> PAS</vt:lpstr>
      <vt:lpstr>COTITZACIÓ SS PAS I PDI</vt:lpstr>
      <vt:lpstr>' PAS'!Àrea_d'impressió</vt:lpstr>
      <vt:lpstr>'CÀRRECS ACADÈMICS'!Àrea_d'impressió</vt:lpstr>
      <vt:lpstr>'COTITZACIÓ SS PAS I PDI'!Àrea_d'impressió</vt:lpstr>
      <vt:lpstr>INVESTIGADORS!Àrea_d'impressió</vt:lpstr>
      <vt:lpstr>'MÈRITS I TRAMS'!Àrea_d'impressió</vt:lpstr>
      <vt:lpstr>PDI!Àrea_d'impressió</vt:lpstr>
    </vt:vector>
  </TitlesOfParts>
  <Company>UAB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</dc:creator>
  <cp:lastModifiedBy>Renovi</cp:lastModifiedBy>
  <cp:lastPrinted>2018-11-30T11:29:57Z</cp:lastPrinted>
  <dcterms:created xsi:type="dcterms:W3CDTF">2017-09-04T06:43:15Z</dcterms:created>
  <dcterms:modified xsi:type="dcterms:W3CDTF">2018-12-07T11:40:57Z</dcterms:modified>
</cp:coreProperties>
</file>