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omments1.xml" ContentType="application/vnd.openxmlformats-officedocument.spreadsheetml.comments+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xml"/>
  <Override PartName="/xl/charts/chart49.xml" ContentType="application/vnd.openxmlformats-officedocument.drawingml.chart+xml"/>
  <Override PartName="/xl/drawings/drawing48.xml" ContentType="application/vnd.openxmlformats-officedocument.drawing+xml"/>
  <Override PartName="/xl/charts/chart50.xml" ContentType="application/vnd.openxmlformats-officedocument.drawingml.chart+xml"/>
  <Override PartName="/xl/drawings/drawing49.xml" ContentType="application/vnd.openxmlformats-officedocument.drawing+xml"/>
  <Override PartName="/xl/charts/chart51.xml" ContentType="application/vnd.openxmlformats-officedocument.drawingml.chart+xml"/>
  <Override PartName="/xl/drawings/drawing50.xml" ContentType="application/vnd.openxmlformats-officedocument.drawing+xml"/>
  <Override PartName="/xl/charts/chart52.xml" ContentType="application/vnd.openxmlformats-officedocument.drawingml.chart+xml"/>
  <Override PartName="/xl/drawings/drawing51.xml" ContentType="application/vnd.openxmlformats-officedocument.drawing+xml"/>
  <Override PartName="/xl/charts/chart53.xml" ContentType="application/vnd.openxmlformats-officedocument.drawingml.chart+xml"/>
  <Override PartName="/xl/drawings/drawing52.xml" ContentType="application/vnd.openxmlformats-officedocument.drawing+xml"/>
  <Override PartName="/xl/charts/chart54.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3.xml" ContentType="application/vnd.openxmlformats-officedocument.drawing+xml"/>
  <Override PartName="/xl/charts/chart55.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4.xml" ContentType="application/vnd.openxmlformats-officedocument.drawing+xml"/>
  <Override PartName="/xl/charts/chart56.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5.xml" ContentType="application/vnd.openxmlformats-officedocument.drawing+xml"/>
  <Override PartName="/xl/charts/chart57.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6.xml" ContentType="application/vnd.openxmlformats-officedocument.drawing+xml"/>
  <Override PartName="/xl/charts/chart58.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7.xml" ContentType="application/vnd.openxmlformats-officedocument.drawing+xml"/>
  <Override PartName="/xl/charts/chart59.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8.xml" ContentType="application/vnd.openxmlformats-officedocument.drawing+xml"/>
  <Override PartName="/xl/charts/chart60.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9.xml" ContentType="application/vnd.openxmlformats-officedocument.drawing+xml"/>
  <Override PartName="/xl/charts/chart61.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0.xml" ContentType="application/vnd.openxmlformats-officedocument.drawing+xml"/>
  <Override PartName="/xl/charts/chart62.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1.xml" ContentType="application/vnd.openxmlformats-officedocument.drawing+xml"/>
  <Override PartName="/xl/charts/chart63.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2.xml" ContentType="application/vnd.openxmlformats-officedocument.drawing+xml"/>
  <Override PartName="/xl/charts/chart64.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3.xml" ContentType="application/vnd.openxmlformats-officedocument.drawing+xml"/>
  <Override PartName="/xl/charts/chart65.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4.xml" ContentType="application/vnd.openxmlformats-officedocument.drawing+xml"/>
  <Override PartName="/xl/charts/chart66.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5.xml" ContentType="application/vnd.openxmlformats-officedocument.drawing+xml"/>
  <Override PartName="/xl/charts/chart67.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6.xml" ContentType="application/vnd.openxmlformats-officedocument.drawing+xml"/>
  <Override PartName="/xl/charts/chart68.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8.xml" ContentType="application/vnd.openxmlformats-officedocument.drawing+xml"/>
  <Override PartName="/xl/charts/chart71.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9.xml" ContentType="application/vnd.openxmlformats-officedocument.drawing+xml"/>
  <Override PartName="/xl/charts/chart7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0.xml" ContentType="application/vnd.openxmlformats-officedocument.drawing+xml"/>
  <Override PartName="/xl/charts/chart7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1.xml" ContentType="application/vnd.openxmlformats-officedocument.drawing+xml"/>
  <Override PartName="/xl/charts/chart7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2.xml" ContentType="application/vnd.openxmlformats-officedocument.drawing+xml"/>
  <Override PartName="/xl/charts/chart75.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3.xml" ContentType="application/vnd.openxmlformats-officedocument.drawing+xml"/>
  <Override PartName="/xl/charts/chart76.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4.xml" ContentType="application/vnd.openxmlformats-officedocument.drawing+xml"/>
  <Override PartName="/xl/charts/chart77.xml" ContentType="application/vnd.openxmlformats-officedocument.drawingml.chart+xml"/>
  <Override PartName="/xl/charts/style69.xml" ContentType="application/vnd.ms-office.chartstyle+xml"/>
  <Override PartName="/xl/charts/colors6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uab.sharepoint.com/sites/GestiQualitatBiocinciescopia-SGIQ2021_2022RevisiiMillora/Documentos compartidos/SGIQ 2024_2025 (Revisió i Millora)/0 Manual del SGIQ/"/>
    </mc:Choice>
  </mc:AlternateContent>
  <xr:revisionPtr revIDLastSave="1051" documentId="8_{C6E3EA6C-4DE6-47A6-9AD2-F10454603A3B}" xr6:coauthVersionLast="47" xr6:coauthVersionMax="47" xr10:uidLastSave="{15A8B92F-4EB0-4471-9CEC-B5D855DAB8E5}"/>
  <bookViews>
    <workbookView xWindow="-25905" yWindow="2160" windowWidth="21600" windowHeight="11295" tabRatio="968" firstSheet="58" activeTab="66" xr2:uid="{00000000-000D-0000-FFFF-FFFF00000000}"/>
  </bookViews>
  <sheets>
    <sheet name="Índex" sheetId="1" r:id="rId1"/>
    <sheet name="PE1.01_Ind01 " sheetId="178" r:id="rId2"/>
    <sheet name="PE1.01_Ind02" sheetId="2" r:id="rId3"/>
    <sheet name="PE1.01_Ind03 " sheetId="215" r:id="rId4"/>
    <sheet name="PE1.01_Ind04 " sheetId="214" r:id="rId5"/>
    <sheet name="PE1.02_Ind01" sheetId="217" r:id="rId6"/>
    <sheet name="PE1.02_Ind02" sheetId="194" r:id="rId7"/>
    <sheet name="PE1.02_Ind03" sheetId="222" r:id="rId8"/>
    <sheet name="PE1.03_Ind01" sheetId="83" r:id="rId9"/>
    <sheet name="PE1.03_Ind02" sheetId="84" r:id="rId10"/>
    <sheet name="PE1.03_Ind03" sheetId="85" r:id="rId11"/>
    <sheet name="PE1.03_Ind04 " sheetId="86" r:id="rId12"/>
    <sheet name="PE1.03_Ind05" sheetId="79" r:id="rId13"/>
    <sheet name="PE1.03_Ind06" sheetId="218" r:id="rId14"/>
    <sheet name="PE1.03_Ind07" sheetId="219" r:id="rId15"/>
    <sheet name="PC2.01_Ind01" sheetId="91" r:id="rId16"/>
    <sheet name="PC2.01_Ind02" sheetId="93" r:id="rId17"/>
    <sheet name="PC2.01_Ind03" sheetId="180" r:id="rId18"/>
    <sheet name="PC2.01_Ind04" sheetId="181" r:id="rId19"/>
    <sheet name="PC2.01_Ind05" sheetId="195" r:id="rId20"/>
    <sheet name="PC2.02_Ind01" sheetId="95" r:id="rId21"/>
    <sheet name="PC2.03_Ind01" sheetId="97" r:id="rId22"/>
    <sheet name="PC2.03_Ind02" sheetId="99" r:id="rId23"/>
    <sheet name="PC2.04_Ind01" sheetId="101" r:id="rId24"/>
    <sheet name="PC2.04_Ind02" sheetId="103" r:id="rId25"/>
    <sheet name="PC2.04_Ind03" sheetId="106" r:id="rId26"/>
    <sheet name="PC2.04_Ind4" sheetId="109" r:id="rId27"/>
    <sheet name="PC2.05_Ind01" sheetId="188" r:id="rId28"/>
    <sheet name="PC3.01_Ind01" sheetId="110" r:id="rId29"/>
    <sheet name="PC3.01_Ind02." sheetId="114" r:id="rId30"/>
    <sheet name="PC3.01_Ind03" sheetId="190" r:id="rId31"/>
    <sheet name="PC3.01_Ind04 " sheetId="118" r:id="rId32"/>
    <sheet name="PC3.02_Ind01" sheetId="122" r:id="rId33"/>
    <sheet name="PC3.03_Ind01" sheetId="123" r:id="rId34"/>
    <sheet name="PC3.03_Ind02" sheetId="183" r:id="rId35"/>
    <sheet name="PC3.03_Ind03" sheetId="220" r:id="rId36"/>
    <sheet name="PC3.03_Ind04-V1" sheetId="226" r:id="rId37"/>
    <sheet name="PC3.03_Ind05-V1" sheetId="227" r:id="rId38"/>
    <sheet name="PC3.04_Ind01" sheetId="132" r:id="rId39"/>
    <sheet name="PC3.04_Ind02 " sheetId="126" r:id="rId40"/>
    <sheet name="PC3.04_Ind03" sheetId="184" r:id="rId41"/>
    <sheet name="PC3.05_Ind01" sheetId="207" r:id="rId42"/>
    <sheet name="PC3.05_Ind02" sheetId="135" r:id="rId43"/>
    <sheet name="PS4.01_Ind01" sheetId="191" r:id="rId44"/>
    <sheet name="PS4.01_Ind02" sheetId="143" r:id="rId45"/>
    <sheet name="PS4.02_Ind01" sheetId="145" r:id="rId46"/>
    <sheet name="PS4.02_Ind02" sheetId="146" r:id="rId47"/>
    <sheet name="PS4.02_Ind03" sheetId="202" r:id="rId48"/>
    <sheet name="PS4.02_Ind04" sheetId="203" r:id="rId49"/>
    <sheet name="PS4.02_Ind05" sheetId="229" r:id="rId50"/>
    <sheet name="PS4.02_Ind06" sheetId="230" r:id="rId51"/>
    <sheet name="PS4.03_Ind01" sheetId="147" r:id="rId52"/>
    <sheet name="PS4.03_Ind02" sheetId="150" r:id="rId53"/>
    <sheet name="PS4.03_Ind03" sheetId="152" r:id="rId54"/>
    <sheet name="PS4.03_Ind04" sheetId="185" r:id="rId55"/>
    <sheet name="PS4.03_Ind05" sheetId="204" r:id="rId56"/>
    <sheet name="PS4.03_Ind06" sheetId="206" r:id="rId57"/>
    <sheet name="PS4.04_Ind01" sheetId="155" r:id="rId58"/>
    <sheet name="PS4.04_Ind02" sheetId="210" r:id="rId59"/>
    <sheet name="PS4.04_Ind03." sheetId="158" r:id="rId60"/>
    <sheet name="PS4.05_Ind01" sheetId="193" r:id="rId61"/>
    <sheet name="PS4.05_Ind02" sheetId="186" r:id="rId62"/>
    <sheet name="PS5.03_Ind01" sheetId="159" r:id="rId63"/>
    <sheet name="PS5.03_Ind02" sheetId="161" r:id="rId64"/>
    <sheet name="PS5.03_Ind03" sheetId="166" r:id="rId65"/>
    <sheet name="PS5.03_Ind04" sheetId="209" r:id="rId66"/>
    <sheet name="PS5.04_Ind01" sheetId="167" r:id="rId67"/>
    <sheet name="PS5.04_Ind02" sheetId="168" r:id="rId68"/>
    <sheet name="PS5.04_Ind03" sheetId="169" r:id="rId69"/>
    <sheet name="PS5.04_Ind04" sheetId="171" r:id="rId70"/>
    <sheet name="PS5.05_Ind01" sheetId="172" r:id="rId71"/>
    <sheet name="PS5.05_Ind02" sheetId="198" r:id="rId72"/>
    <sheet name="PS5.05_Ind03 " sheetId="174" r:id="rId73"/>
    <sheet name="PS5.06_Ind01   " sheetId="177" r:id="rId74"/>
  </sheets>
  <definedNames>
    <definedName name="index">Índex!$B$59:$B$78</definedName>
    <definedName name="indicadors">Índex!$B$7:$B$78</definedName>
    <definedName name="Indivadors2">Índex!$B$7:$B$79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166" l="1"/>
  <c r="D8" i="166"/>
  <c r="D9" i="123"/>
  <c r="D8" i="209"/>
  <c r="D6" i="209"/>
  <c r="D8" i="206"/>
  <c r="D6" i="206"/>
  <c r="D8" i="204"/>
  <c r="D6" i="204"/>
  <c r="G8" i="198"/>
  <c r="C8" i="198"/>
  <c r="D8" i="172"/>
  <c r="D8" i="161"/>
  <c r="D8" i="210"/>
  <c r="D8" i="155"/>
  <c r="H8" i="230"/>
  <c r="D9" i="230"/>
  <c r="D8" i="230"/>
  <c r="H8" i="229"/>
  <c r="D9" i="229"/>
  <c r="D8" i="229"/>
  <c r="D8" i="203"/>
  <c r="D4" i="203"/>
  <c r="D9" i="202"/>
  <c r="D8" i="202"/>
  <c r="D9" i="146"/>
  <c r="D8" i="146"/>
  <c r="D6" i="146"/>
  <c r="D5" i="146"/>
  <c r="F8" i="145"/>
  <c r="D8" i="145"/>
  <c r="D6" i="145"/>
  <c r="D9" i="135"/>
  <c r="D8" i="135"/>
  <c r="D6" i="135"/>
  <c r="D4" i="135"/>
  <c r="H8" i="207"/>
  <c r="D8" i="207"/>
  <c r="G8" i="220"/>
  <c r="C9" i="220"/>
  <c r="C9" i="198"/>
  <c r="D9" i="172"/>
  <c r="D9" i="161"/>
  <c r="D9" i="210"/>
  <c r="D9" i="155"/>
  <c r="D6" i="155"/>
  <c r="D9" i="203"/>
  <c r="D9" i="145"/>
  <c r="D9" i="207"/>
  <c r="D8" i="123"/>
  <c r="D6" i="214"/>
  <c r="C6" i="198"/>
  <c r="D6" i="172"/>
  <c r="D6" i="210"/>
  <c r="D6" i="230"/>
  <c r="D5" i="230"/>
  <c r="D6" i="229"/>
  <c r="D6" i="203"/>
  <c r="D6" i="202"/>
  <c r="D6" i="161"/>
  <c r="D6" i="207"/>
  <c r="C6" i="220"/>
  <c r="C5" i="220"/>
  <c r="D6" i="123"/>
  <c r="I16" i="146"/>
  <c r="O27" i="227"/>
  <c r="N26" i="227"/>
  <c r="N28" i="227" s="1"/>
  <c r="M26" i="227"/>
  <c r="M30" i="227" s="1"/>
  <c r="O25" i="227"/>
  <c r="O24" i="227"/>
  <c r="O23" i="227"/>
  <c r="O22" i="227"/>
  <c r="O21" i="227"/>
  <c r="O20" i="227"/>
  <c r="O19" i="227"/>
  <c r="O18" i="227"/>
  <c r="O17" i="227"/>
  <c r="O16" i="227"/>
  <c r="O15" i="227"/>
  <c r="L27" i="227"/>
  <c r="K26" i="227"/>
  <c r="K30" i="227" s="1"/>
  <c r="J26" i="227"/>
  <c r="J30" i="227" s="1"/>
  <c r="L25" i="227"/>
  <c r="L24" i="227"/>
  <c r="L23" i="227"/>
  <c r="L22" i="227"/>
  <c r="L21" i="227"/>
  <c r="L20" i="227"/>
  <c r="L19" i="227"/>
  <c r="L18" i="227"/>
  <c r="L17" i="227"/>
  <c r="L16" i="227"/>
  <c r="L15" i="227"/>
  <c r="I27" i="227"/>
  <c r="H26" i="227"/>
  <c r="H30" i="227" s="1"/>
  <c r="G26" i="227"/>
  <c r="G30" i="227" s="1"/>
  <c r="I25" i="227"/>
  <c r="I24" i="227"/>
  <c r="I23" i="227"/>
  <c r="I22" i="227"/>
  <c r="I21" i="227"/>
  <c r="I20" i="227"/>
  <c r="I19" i="227"/>
  <c r="I18" i="227"/>
  <c r="I17" i="227"/>
  <c r="I16" i="227"/>
  <c r="I15" i="227"/>
  <c r="F27" i="227"/>
  <c r="E26" i="227"/>
  <c r="E30" i="227" s="1"/>
  <c r="D26" i="227"/>
  <c r="D30" i="227" s="1"/>
  <c r="F25" i="227"/>
  <c r="F24" i="227"/>
  <c r="F23" i="227"/>
  <c r="F22" i="227"/>
  <c r="F21" i="227"/>
  <c r="F20" i="227"/>
  <c r="F19" i="227"/>
  <c r="F18" i="227"/>
  <c r="F17" i="227"/>
  <c r="F16" i="227"/>
  <c r="F15" i="227"/>
  <c r="N22" i="226"/>
  <c r="N21" i="226"/>
  <c r="N23" i="226" s="1"/>
  <c r="N25" i="226" s="1" a="1"/>
  <c r="N25" i="226" s="1"/>
  <c r="M21" i="226"/>
  <c r="M23" i="226" s="1"/>
  <c r="M25" i="226" s="1" a="1"/>
  <c r="M25" i="226" s="1"/>
  <c r="L21" i="226"/>
  <c r="L23" i="226" s="1"/>
  <c r="L25" i="226" s="1" a="1"/>
  <c r="L25" i="226" s="1"/>
  <c r="K22" i="226"/>
  <c r="K21" i="226"/>
  <c r="K23" i="226" s="1"/>
  <c r="K25" i="226" s="1" a="1"/>
  <c r="K25" i="226" s="1"/>
  <c r="J21" i="226"/>
  <c r="J23" i="226" s="1"/>
  <c r="J25" i="226" s="1" a="1"/>
  <c r="J25" i="226" s="1"/>
  <c r="I21" i="226"/>
  <c r="I23" i="226" s="1"/>
  <c r="I25" i="226" s="1" a="1"/>
  <c r="I25" i="226" s="1"/>
  <c r="F23" i="226"/>
  <c r="F25" i="226" s="1" a="1"/>
  <c r="F25" i="226" s="1"/>
  <c r="H22" i="226"/>
  <c r="H21" i="226"/>
  <c r="G21" i="226"/>
  <c r="G23" i="226" s="1"/>
  <c r="G25" i="226" s="1" a="1"/>
  <c r="G25" i="226" s="1"/>
  <c r="F21" i="226"/>
  <c r="E22" i="226"/>
  <c r="E21" i="226"/>
  <c r="E23" i="226" s="1"/>
  <c r="E25" i="226" s="1" a="1"/>
  <c r="E25" i="226" s="1"/>
  <c r="D21" i="226"/>
  <c r="D23" i="226" s="1"/>
  <c r="D25" i="226" s="1" a="1"/>
  <c r="D25" i="226" s="1"/>
  <c r="C21" i="226"/>
  <c r="C23" i="226" s="1"/>
  <c r="C25" i="226" s="1" a="1"/>
  <c r="C25" i="226" s="1"/>
  <c r="I27" i="177"/>
  <c r="H27" i="177"/>
  <c r="G27" i="177"/>
  <c r="F27" i="177"/>
  <c r="E27" i="177"/>
  <c r="D27" i="177"/>
  <c r="D9" i="177"/>
  <c r="H8" i="177"/>
  <c r="D8" i="177"/>
  <c r="D6" i="177"/>
  <c r="D5" i="177"/>
  <c r="H4" i="177"/>
  <c r="D4" i="177"/>
  <c r="I30" i="174"/>
  <c r="H30" i="174"/>
  <c r="G30" i="174"/>
  <c r="F30" i="174"/>
  <c r="E30" i="174"/>
  <c r="D30" i="174"/>
  <c r="I28" i="174"/>
  <c r="H28" i="174"/>
  <c r="G28" i="174"/>
  <c r="F28" i="174"/>
  <c r="E28" i="174"/>
  <c r="D28" i="174"/>
  <c r="I27" i="174"/>
  <c r="H27" i="174"/>
  <c r="G27" i="174"/>
  <c r="F27" i="174"/>
  <c r="E27" i="174"/>
  <c r="D27" i="174"/>
  <c r="B27" i="174"/>
  <c r="D9" i="174"/>
  <c r="H8" i="174"/>
  <c r="D8" i="174"/>
  <c r="D6" i="174"/>
  <c r="D5" i="174"/>
  <c r="H4" i="174"/>
  <c r="D4" i="174"/>
  <c r="I16" i="198"/>
  <c r="H16" i="198"/>
  <c r="G16" i="198"/>
  <c r="F16" i="198"/>
  <c r="E16" i="198"/>
  <c r="D16" i="198"/>
  <c r="C16" i="198"/>
  <c r="C5" i="198"/>
  <c r="G4" i="198"/>
  <c r="C4" i="198"/>
  <c r="G15" i="172"/>
  <c r="D15" i="172"/>
  <c r="H8" i="172"/>
  <c r="D5" i="172"/>
  <c r="H4" i="172"/>
  <c r="D4" i="172"/>
  <c r="I40" i="171"/>
  <c r="H40" i="171"/>
  <c r="G40" i="171"/>
  <c r="F40" i="171"/>
  <c r="E40" i="171"/>
  <c r="D40" i="171"/>
  <c r="I39" i="171"/>
  <c r="H39" i="171"/>
  <c r="G39" i="171"/>
  <c r="F39" i="171"/>
  <c r="I37" i="171"/>
  <c r="H37" i="171"/>
  <c r="G37" i="171"/>
  <c r="F37" i="171"/>
  <c r="E37" i="171"/>
  <c r="D37" i="171"/>
  <c r="I36" i="171"/>
  <c r="H36" i="171"/>
  <c r="G36" i="171"/>
  <c r="F36" i="171"/>
  <c r="E36" i="171"/>
  <c r="D36" i="171"/>
  <c r="I34" i="171"/>
  <c r="H34" i="171"/>
  <c r="G34" i="171"/>
  <c r="F34" i="171"/>
  <c r="E34" i="171"/>
  <c r="D34" i="171"/>
  <c r="I33" i="171"/>
  <c r="H33" i="171"/>
  <c r="G33" i="171"/>
  <c r="F33" i="171"/>
  <c r="E33" i="171"/>
  <c r="D33" i="171"/>
  <c r="D9" i="171"/>
  <c r="H8" i="171"/>
  <c r="D8" i="171"/>
  <c r="D6" i="171"/>
  <c r="D5" i="171"/>
  <c r="H4" i="171"/>
  <c r="D4" i="171"/>
  <c r="I34" i="169"/>
  <c r="H34" i="169"/>
  <c r="G34" i="169"/>
  <c r="F34" i="169"/>
  <c r="E34" i="169"/>
  <c r="D34" i="169"/>
  <c r="D9" i="169"/>
  <c r="H8" i="169"/>
  <c r="D8" i="169"/>
  <c r="D6" i="169"/>
  <c r="D5" i="169"/>
  <c r="H4" i="169"/>
  <c r="D4" i="169"/>
  <c r="F36" i="168"/>
  <c r="F34" i="168" s="1"/>
  <c r="F37" i="168" s="1"/>
  <c r="J35" i="168"/>
  <c r="I35" i="168"/>
  <c r="H35" i="168"/>
  <c r="G35" i="168"/>
  <c r="F35" i="168"/>
  <c r="E35" i="168"/>
  <c r="D35" i="168"/>
  <c r="H33" i="168"/>
  <c r="E33" i="168"/>
  <c r="D33" i="168"/>
  <c r="E32" i="168"/>
  <c r="H31" i="168"/>
  <c r="E31" i="168"/>
  <c r="D31" i="168"/>
  <c r="H30" i="168"/>
  <c r="G30" i="168"/>
  <c r="E30" i="168"/>
  <c r="D30" i="168"/>
  <c r="H29" i="168"/>
  <c r="G29" i="168"/>
  <c r="E29" i="168"/>
  <c r="D29" i="168"/>
  <c r="H28" i="168"/>
  <c r="E28" i="168"/>
  <c r="D28" i="168"/>
  <c r="H27" i="168"/>
  <c r="E27" i="168"/>
  <c r="D27" i="168"/>
  <c r="H26" i="168"/>
  <c r="G26" i="168"/>
  <c r="E26" i="168"/>
  <c r="D26" i="168"/>
  <c r="H25" i="168"/>
  <c r="G25" i="168"/>
  <c r="E25" i="168"/>
  <c r="D25" i="168"/>
  <c r="H24" i="168"/>
  <c r="G24" i="168"/>
  <c r="E24" i="168"/>
  <c r="D24" i="168"/>
  <c r="H23" i="168"/>
  <c r="G23" i="168"/>
  <c r="E23" i="168"/>
  <c r="H22" i="168"/>
  <c r="G22" i="168"/>
  <c r="E22" i="168"/>
  <c r="D22" i="168"/>
  <c r="H21" i="168"/>
  <c r="G21" i="168"/>
  <c r="H20" i="168"/>
  <c r="G20" i="168"/>
  <c r="H19" i="168"/>
  <c r="G19" i="168"/>
  <c r="E19" i="168"/>
  <c r="D19" i="168"/>
  <c r="H18" i="168"/>
  <c r="G18" i="168"/>
  <c r="E18" i="168"/>
  <c r="D18" i="168"/>
  <c r="H16" i="168"/>
  <c r="G16" i="168"/>
  <c r="E16" i="168"/>
  <c r="D16" i="168"/>
  <c r="D9" i="168"/>
  <c r="H8" i="168"/>
  <c r="D8" i="168"/>
  <c r="D6" i="168"/>
  <c r="D5" i="168"/>
  <c r="H4" i="168"/>
  <c r="D4" i="168"/>
  <c r="J35" i="167"/>
  <c r="I35" i="167"/>
  <c r="I33" i="167" s="1"/>
  <c r="I36" i="167" s="1"/>
  <c r="H35" i="167"/>
  <c r="H33" i="167" s="1"/>
  <c r="H36" i="167" s="1"/>
  <c r="E35" i="167"/>
  <c r="D35" i="167"/>
  <c r="D33" i="167" s="1"/>
  <c r="D36" i="167" s="1"/>
  <c r="J34" i="167"/>
  <c r="I34" i="167"/>
  <c r="H34" i="167"/>
  <c r="G34" i="167"/>
  <c r="F34" i="167"/>
  <c r="E34" i="167"/>
  <c r="D34" i="167"/>
  <c r="J33" i="167"/>
  <c r="J36" i="167" s="1"/>
  <c r="E33" i="167"/>
  <c r="E36" i="167" s="1"/>
  <c r="B33" i="167"/>
  <c r="E31" i="167"/>
  <c r="E30" i="167"/>
  <c r="D30" i="167"/>
  <c r="E29" i="167"/>
  <c r="D29" i="167"/>
  <c r="E28" i="167"/>
  <c r="D28" i="167"/>
  <c r="E27" i="167"/>
  <c r="D27" i="167"/>
  <c r="E26" i="167"/>
  <c r="D26" i="167"/>
  <c r="F25" i="167"/>
  <c r="E25" i="167"/>
  <c r="D25" i="167"/>
  <c r="F24" i="167"/>
  <c r="E24" i="167"/>
  <c r="D24" i="167"/>
  <c r="F23" i="167"/>
  <c r="E23" i="167"/>
  <c r="D23" i="167"/>
  <c r="D22" i="167"/>
  <c r="F21" i="167"/>
  <c r="E21" i="167"/>
  <c r="D21" i="167"/>
  <c r="F20" i="167"/>
  <c r="E20" i="167"/>
  <c r="F19" i="167"/>
  <c r="E19" i="167"/>
  <c r="D19" i="167"/>
  <c r="F18" i="167"/>
  <c r="E18" i="167"/>
  <c r="D18" i="167"/>
  <c r="F17" i="167"/>
  <c r="E17" i="167"/>
  <c r="D17" i="167"/>
  <c r="F15" i="167"/>
  <c r="E15" i="167"/>
  <c r="D15" i="167"/>
  <c r="D9" i="167"/>
  <c r="H8" i="167"/>
  <c r="D8" i="167"/>
  <c r="D6" i="167"/>
  <c r="D5" i="167"/>
  <c r="G35" i="167" s="1"/>
  <c r="G33" i="167" s="1"/>
  <c r="G36" i="167" s="1"/>
  <c r="H4" i="167"/>
  <c r="D4" i="167"/>
  <c r="H18" i="209"/>
  <c r="G18" i="209"/>
  <c r="F18" i="209"/>
  <c r="D16" i="209"/>
  <c r="D9" i="209"/>
  <c r="H8" i="209"/>
  <c r="D5" i="209"/>
  <c r="C17" i="209" s="1"/>
  <c r="H4" i="209"/>
  <c r="D4" i="209"/>
  <c r="I34" i="166"/>
  <c r="H34" i="166"/>
  <c r="G34" i="166"/>
  <c r="F34" i="166"/>
  <c r="E34" i="166"/>
  <c r="D34" i="166"/>
  <c r="D9" i="166"/>
  <c r="D6" i="166"/>
  <c r="D5" i="166"/>
  <c r="H4" i="166"/>
  <c r="D4" i="166"/>
  <c r="H27" i="161"/>
  <c r="G27" i="161"/>
  <c r="F27" i="161"/>
  <c r="E27" i="161"/>
  <c r="D27" i="161"/>
  <c r="C27" i="161"/>
  <c r="H26" i="161"/>
  <c r="G26" i="161"/>
  <c r="F26" i="161"/>
  <c r="E26" i="161"/>
  <c r="D26" i="161"/>
  <c r="C26" i="161"/>
  <c r="H8" i="161"/>
  <c r="D5" i="161"/>
  <c r="C28" i="161" s="1"/>
  <c r="H4" i="161"/>
  <c r="D4" i="161"/>
  <c r="G31" i="159"/>
  <c r="G29" i="159" s="1"/>
  <c r="G32" i="159" s="1"/>
  <c r="F31" i="159"/>
  <c r="F29" i="159" s="1"/>
  <c r="F32" i="159" s="1"/>
  <c r="G30" i="159"/>
  <c r="F30" i="159"/>
  <c r="E30" i="159"/>
  <c r="D30" i="159"/>
  <c r="E29" i="159"/>
  <c r="E32" i="159" s="1"/>
  <c r="D9" i="159"/>
  <c r="G8" i="159"/>
  <c r="D8" i="159"/>
  <c r="D6" i="159"/>
  <c r="D5" i="159"/>
  <c r="E31" i="159" s="1"/>
  <c r="G4" i="159"/>
  <c r="D4" i="159"/>
  <c r="I28" i="186"/>
  <c r="H28" i="186"/>
  <c r="G28" i="186"/>
  <c r="F28" i="186"/>
  <c r="E28" i="186"/>
  <c r="D28" i="186"/>
  <c r="I26" i="186"/>
  <c r="H26" i="186"/>
  <c r="G26" i="186"/>
  <c r="F26" i="186"/>
  <c r="E26" i="186"/>
  <c r="D26" i="186"/>
  <c r="I25" i="186"/>
  <c r="H25" i="186"/>
  <c r="G25" i="186"/>
  <c r="F25" i="186"/>
  <c r="E25" i="186"/>
  <c r="D25" i="186"/>
  <c r="D9" i="186"/>
  <c r="H8" i="186"/>
  <c r="D8" i="186"/>
  <c r="D6" i="186"/>
  <c r="D5" i="186"/>
  <c r="B25" i="186" s="1"/>
  <c r="H4" i="186"/>
  <c r="D4" i="186"/>
  <c r="I28" i="193"/>
  <c r="H28" i="193"/>
  <c r="G28" i="193"/>
  <c r="F28" i="193"/>
  <c r="E28" i="193"/>
  <c r="D28" i="193"/>
  <c r="I26" i="193"/>
  <c r="H26" i="193"/>
  <c r="G26" i="193"/>
  <c r="F26" i="193"/>
  <c r="E26" i="193"/>
  <c r="D26" i="193"/>
  <c r="I25" i="193"/>
  <c r="H25" i="193"/>
  <c r="G25" i="193"/>
  <c r="F25" i="193"/>
  <c r="E25" i="193"/>
  <c r="D25" i="193"/>
  <c r="D9" i="193"/>
  <c r="H8" i="193"/>
  <c r="D8" i="193"/>
  <c r="D6" i="193"/>
  <c r="D5" i="193"/>
  <c r="B25" i="193" s="1"/>
  <c r="H4" i="193"/>
  <c r="D4" i="193"/>
  <c r="I35" i="158"/>
  <c r="H35" i="158"/>
  <c r="G35" i="158"/>
  <c r="F35" i="158"/>
  <c r="E35" i="158"/>
  <c r="D35" i="158"/>
  <c r="I33" i="158"/>
  <c r="H33" i="158"/>
  <c r="G33" i="158"/>
  <c r="F33" i="158"/>
  <c r="E33" i="158"/>
  <c r="D33" i="158"/>
  <c r="I32" i="158"/>
  <c r="H32" i="158"/>
  <c r="G32" i="158"/>
  <c r="F32" i="158"/>
  <c r="E32" i="158"/>
  <c r="D32" i="158"/>
  <c r="D9" i="158"/>
  <c r="H8" i="158"/>
  <c r="D8" i="158"/>
  <c r="D6" i="158"/>
  <c r="D5" i="158"/>
  <c r="B32" i="158" s="1"/>
  <c r="H4" i="158"/>
  <c r="D4" i="158"/>
  <c r="H8" i="210"/>
  <c r="D5" i="210"/>
  <c r="H4" i="210"/>
  <c r="D4" i="210"/>
  <c r="G18" i="155"/>
  <c r="F18" i="155"/>
  <c r="E18" i="155"/>
  <c r="D18" i="155"/>
  <c r="C18" i="155"/>
  <c r="H8" i="155"/>
  <c r="D5" i="155"/>
  <c r="H4" i="155"/>
  <c r="D4" i="155"/>
  <c r="I17" i="206"/>
  <c r="H17" i="206"/>
  <c r="D9" i="206"/>
  <c r="H8" i="206"/>
  <c r="D5" i="206"/>
  <c r="H4" i="206"/>
  <c r="D4" i="206"/>
  <c r="H17" i="204"/>
  <c r="D9" i="204"/>
  <c r="H8" i="204"/>
  <c r="D5" i="204"/>
  <c r="C16" i="204" s="1"/>
  <c r="H4" i="204"/>
  <c r="D4" i="204"/>
  <c r="I36" i="185"/>
  <c r="H36" i="185"/>
  <c r="G36" i="185"/>
  <c r="F36" i="185"/>
  <c r="E36" i="185"/>
  <c r="D36" i="185"/>
  <c r="I34" i="185"/>
  <c r="H34" i="185"/>
  <c r="G34" i="185"/>
  <c r="F34" i="185"/>
  <c r="E34" i="185"/>
  <c r="D34" i="185"/>
  <c r="I33" i="185"/>
  <c r="H33" i="185"/>
  <c r="G33" i="185"/>
  <c r="F33" i="185"/>
  <c r="E33" i="185"/>
  <c r="D33" i="185"/>
  <c r="B33" i="185"/>
  <c r="D9" i="185"/>
  <c r="H8" i="185"/>
  <c r="D8" i="185"/>
  <c r="D6" i="185"/>
  <c r="D5" i="185"/>
  <c r="H4" i="185"/>
  <c r="D4" i="185"/>
  <c r="I29" i="152"/>
  <c r="H29" i="152"/>
  <c r="G29" i="152"/>
  <c r="F29" i="152"/>
  <c r="E29" i="152"/>
  <c r="D29" i="152"/>
  <c r="I27" i="152"/>
  <c r="H27" i="152"/>
  <c r="G27" i="152"/>
  <c r="F27" i="152"/>
  <c r="E27" i="152"/>
  <c r="D27" i="152"/>
  <c r="I26" i="152"/>
  <c r="H26" i="152"/>
  <c r="G26" i="152"/>
  <c r="F26" i="152"/>
  <c r="E26" i="152"/>
  <c r="D26" i="152"/>
  <c r="D9" i="152"/>
  <c r="H8" i="152"/>
  <c r="D8" i="152"/>
  <c r="D6" i="152"/>
  <c r="D5" i="152"/>
  <c r="B26" i="152" s="1"/>
  <c r="H4" i="152"/>
  <c r="D4" i="152"/>
  <c r="J29" i="150"/>
  <c r="I29" i="150"/>
  <c r="H29" i="150"/>
  <c r="G29" i="150"/>
  <c r="F29" i="150"/>
  <c r="E29" i="150"/>
  <c r="D29" i="150"/>
  <c r="J27" i="150"/>
  <c r="I27" i="150"/>
  <c r="H27" i="150"/>
  <c r="G27" i="150"/>
  <c r="F27" i="150"/>
  <c r="E27" i="150"/>
  <c r="D27" i="150"/>
  <c r="J26" i="150"/>
  <c r="I26" i="150"/>
  <c r="H26" i="150"/>
  <c r="G26" i="150"/>
  <c r="F26" i="150"/>
  <c r="E26" i="150"/>
  <c r="D26" i="150"/>
  <c r="D9" i="150"/>
  <c r="H8" i="150"/>
  <c r="D8" i="150"/>
  <c r="D6" i="150"/>
  <c r="D5" i="150"/>
  <c r="B26" i="150" s="1"/>
  <c r="H4" i="150"/>
  <c r="D4" i="150"/>
  <c r="F65" i="147"/>
  <c r="E65" i="147"/>
  <c r="D65" i="147"/>
  <c r="F64" i="147"/>
  <c r="E64" i="147"/>
  <c r="D64" i="147"/>
  <c r="R54" i="147"/>
  <c r="R53" i="147"/>
  <c r="R52" i="147"/>
  <c r="R51" i="147"/>
  <c r="R50" i="147"/>
  <c r="R49" i="147"/>
  <c r="R48" i="147"/>
  <c r="R47" i="147"/>
  <c r="R46" i="147"/>
  <c r="R45" i="147"/>
  <c r="R43" i="147"/>
  <c r="R42" i="147"/>
  <c r="R41" i="147"/>
  <c r="R40" i="147"/>
  <c r="R38" i="147"/>
  <c r="R37" i="147"/>
  <c r="R36" i="147"/>
  <c r="R35" i="147"/>
  <c r="R34" i="147"/>
  <c r="R33" i="147"/>
  <c r="R32" i="147"/>
  <c r="R31" i="147"/>
  <c r="R30" i="147"/>
  <c r="R29" i="147"/>
  <c r="R28" i="147"/>
  <c r="R27" i="147"/>
  <c r="R26" i="147"/>
  <c r="R25" i="147"/>
  <c r="R24" i="147"/>
  <c r="R23" i="147"/>
  <c r="R21" i="147"/>
  <c r="R20" i="147"/>
  <c r="R19" i="147"/>
  <c r="R18" i="147"/>
  <c r="R17" i="147"/>
  <c r="R16" i="147"/>
  <c r="R15" i="147"/>
  <c r="D9" i="147"/>
  <c r="H8" i="147"/>
  <c r="D8" i="147"/>
  <c r="D6" i="147"/>
  <c r="D5" i="147"/>
  <c r="H4" i="147"/>
  <c r="D4" i="147"/>
  <c r="H4" i="230"/>
  <c r="D4" i="230"/>
  <c r="D5" i="229"/>
  <c r="H4" i="229"/>
  <c r="D4" i="229"/>
  <c r="I15" i="203"/>
  <c r="H15" i="203"/>
  <c r="G15" i="203"/>
  <c r="F15" i="203"/>
  <c r="E15" i="203"/>
  <c r="D15" i="203"/>
  <c r="H8" i="203"/>
  <c r="D5" i="203"/>
  <c r="H4" i="203"/>
  <c r="I15" i="202"/>
  <c r="H15" i="202"/>
  <c r="G15" i="202"/>
  <c r="F15" i="202"/>
  <c r="E15" i="202"/>
  <c r="D15" i="202"/>
  <c r="H8" i="202"/>
  <c r="D5" i="202"/>
  <c r="H4" i="202"/>
  <c r="D4" i="202"/>
  <c r="H16" i="146"/>
  <c r="G16" i="146"/>
  <c r="F16" i="146"/>
  <c r="E16" i="146"/>
  <c r="D16" i="146"/>
  <c r="H8" i="146"/>
  <c r="H4" i="146"/>
  <c r="D4" i="146"/>
  <c r="I16" i="145"/>
  <c r="H16" i="145"/>
  <c r="G16" i="145"/>
  <c r="F16" i="145"/>
  <c r="E16" i="145"/>
  <c r="D16" i="145"/>
  <c r="D5" i="145"/>
  <c r="F4" i="145"/>
  <c r="D4" i="145"/>
  <c r="I31" i="143"/>
  <c r="H31" i="143"/>
  <c r="G31" i="143"/>
  <c r="F31" i="143"/>
  <c r="E31" i="143"/>
  <c r="D31" i="143"/>
  <c r="I29" i="143"/>
  <c r="H29" i="143"/>
  <c r="G29" i="143"/>
  <c r="F29" i="143"/>
  <c r="E29" i="143"/>
  <c r="D29" i="143"/>
  <c r="I28" i="143"/>
  <c r="H28" i="143"/>
  <c r="G28" i="143"/>
  <c r="F28" i="143"/>
  <c r="E28" i="143"/>
  <c r="D28" i="143"/>
  <c r="D9" i="143"/>
  <c r="H8" i="143"/>
  <c r="D8" i="143"/>
  <c r="D6" i="143"/>
  <c r="D5" i="143"/>
  <c r="B28" i="143" s="1"/>
  <c r="H4" i="143"/>
  <c r="D4" i="143"/>
  <c r="H35" i="191"/>
  <c r="H33" i="191" s="1"/>
  <c r="H36" i="191" s="1"/>
  <c r="J34" i="191"/>
  <c r="I34" i="191"/>
  <c r="H34" i="191"/>
  <c r="G34" i="191"/>
  <c r="F34" i="191"/>
  <c r="E34" i="191"/>
  <c r="D34" i="191"/>
  <c r="D9" i="191"/>
  <c r="H8" i="191"/>
  <c r="D8" i="191"/>
  <c r="D6" i="191"/>
  <c r="D5" i="191"/>
  <c r="F35" i="191" s="1"/>
  <c r="F33" i="191" s="1"/>
  <c r="F36" i="191" s="1"/>
  <c r="H4" i="191"/>
  <c r="D4" i="191"/>
  <c r="H16" i="135"/>
  <c r="G16" i="135"/>
  <c r="F16" i="135"/>
  <c r="E16" i="135"/>
  <c r="H8" i="135"/>
  <c r="D5" i="135"/>
  <c r="H4" i="135"/>
  <c r="D5" i="207"/>
  <c r="H4" i="207"/>
  <c r="D4" i="207"/>
  <c r="J35" i="184"/>
  <c r="I35" i="184"/>
  <c r="H35" i="184"/>
  <c r="G35" i="184"/>
  <c r="F35" i="184"/>
  <c r="E35" i="184"/>
  <c r="D35" i="184"/>
  <c r="J33" i="184"/>
  <c r="I33" i="184"/>
  <c r="H33" i="184"/>
  <c r="G33" i="184"/>
  <c r="F33" i="184"/>
  <c r="E33" i="184"/>
  <c r="D33" i="184"/>
  <c r="J32" i="184"/>
  <c r="I32" i="184"/>
  <c r="H32" i="184"/>
  <c r="G32" i="184"/>
  <c r="F32" i="184"/>
  <c r="E32" i="184"/>
  <c r="D32" i="184"/>
  <c r="E31" i="184"/>
  <c r="D31" i="184"/>
  <c r="E29" i="184"/>
  <c r="G27" i="184"/>
  <c r="E27" i="184"/>
  <c r="D27" i="184"/>
  <c r="E26" i="184"/>
  <c r="E25" i="184"/>
  <c r="D25" i="184"/>
  <c r="G24" i="184"/>
  <c r="D24" i="184"/>
  <c r="G23" i="184"/>
  <c r="E23" i="184"/>
  <c r="D23" i="184"/>
  <c r="G22" i="184"/>
  <c r="E22" i="184"/>
  <c r="D22" i="184"/>
  <c r="G21" i="184"/>
  <c r="E21" i="184"/>
  <c r="G20" i="184"/>
  <c r="E20" i="184"/>
  <c r="D20" i="184"/>
  <c r="G19" i="184"/>
  <c r="G18" i="184"/>
  <c r="G17" i="184"/>
  <c r="E17" i="184"/>
  <c r="D17" i="184"/>
  <c r="E16" i="184"/>
  <c r="D16" i="184"/>
  <c r="G14" i="184"/>
  <c r="E14" i="184"/>
  <c r="D14" i="184"/>
  <c r="D9" i="184"/>
  <c r="H8" i="184"/>
  <c r="D8" i="184"/>
  <c r="D6" i="184"/>
  <c r="D5" i="184"/>
  <c r="B32" i="184" s="1"/>
  <c r="H4" i="184"/>
  <c r="D4" i="184"/>
  <c r="I35" i="126"/>
  <c r="H35" i="126"/>
  <c r="G35" i="126"/>
  <c r="F35" i="126"/>
  <c r="E35" i="126"/>
  <c r="D35" i="126"/>
  <c r="I33" i="126"/>
  <c r="H33" i="126"/>
  <c r="G33" i="126"/>
  <c r="F33" i="126"/>
  <c r="E33" i="126"/>
  <c r="D33" i="126"/>
  <c r="I32" i="126"/>
  <c r="H32" i="126"/>
  <c r="G32" i="126"/>
  <c r="F32" i="126"/>
  <c r="E32" i="126"/>
  <c r="D32" i="126"/>
  <c r="B32" i="126"/>
  <c r="F24" i="126"/>
  <c r="D24" i="126"/>
  <c r="F23" i="126"/>
  <c r="D23" i="126"/>
  <c r="F22" i="126"/>
  <c r="D22" i="126"/>
  <c r="F21" i="126"/>
  <c r="D21" i="126"/>
  <c r="F20" i="126"/>
  <c r="D20" i="126"/>
  <c r="F19" i="126"/>
  <c r="F18" i="126"/>
  <c r="F17" i="126"/>
  <c r="D17" i="126"/>
  <c r="D16" i="126"/>
  <c r="F14" i="126"/>
  <c r="D14" i="126"/>
  <c r="D9" i="126"/>
  <c r="H8" i="126"/>
  <c r="D8" i="126"/>
  <c r="D6" i="126"/>
  <c r="D5" i="126"/>
  <c r="H4" i="126"/>
  <c r="D4" i="126"/>
  <c r="J36" i="132"/>
  <c r="I36" i="132"/>
  <c r="H36" i="132"/>
  <c r="G36" i="132"/>
  <c r="F36" i="132"/>
  <c r="E36" i="132"/>
  <c r="D36" i="132"/>
  <c r="J34" i="132"/>
  <c r="I34" i="132"/>
  <c r="H34" i="132"/>
  <c r="G34" i="132"/>
  <c r="F34" i="132"/>
  <c r="E34" i="132"/>
  <c r="D34" i="132"/>
  <c r="J33" i="132"/>
  <c r="I33" i="132"/>
  <c r="H33" i="132"/>
  <c r="G33" i="132"/>
  <c r="F33" i="132"/>
  <c r="E33" i="132"/>
  <c r="D33" i="132"/>
  <c r="D9" i="132"/>
  <c r="H8" i="132"/>
  <c r="D8" i="132"/>
  <c r="D6" i="132"/>
  <c r="D5" i="132"/>
  <c r="B33" i="132" s="1"/>
  <c r="H4" i="132"/>
  <c r="D4" i="132"/>
  <c r="D9" i="227"/>
  <c r="J8" i="227"/>
  <c r="D8" i="227"/>
  <c r="D6" i="227"/>
  <c r="D5" i="227"/>
  <c r="J4" i="227"/>
  <c r="D4" i="227"/>
  <c r="D10" i="226"/>
  <c r="J9" i="226"/>
  <c r="D9" i="226"/>
  <c r="D7" i="226"/>
  <c r="D6" i="226"/>
  <c r="J5" i="226"/>
  <c r="D5" i="226"/>
  <c r="G4" i="220"/>
  <c r="C4" i="220"/>
  <c r="I28" i="183"/>
  <c r="H28" i="183"/>
  <c r="G28" i="183"/>
  <c r="F28" i="183"/>
  <c r="E28" i="183"/>
  <c r="D28" i="183"/>
  <c r="I26" i="183"/>
  <c r="H26" i="183"/>
  <c r="G26" i="183"/>
  <c r="F26" i="183"/>
  <c r="E26" i="183"/>
  <c r="D26" i="183"/>
  <c r="I25" i="183"/>
  <c r="H25" i="183"/>
  <c r="G25" i="183"/>
  <c r="F25" i="183"/>
  <c r="E25" i="183"/>
  <c r="D25" i="183"/>
  <c r="B25" i="183"/>
  <c r="D9" i="183"/>
  <c r="H8" i="183"/>
  <c r="D8" i="183"/>
  <c r="D6" i="183"/>
  <c r="D5" i="183"/>
  <c r="H4" i="183"/>
  <c r="D4" i="183"/>
  <c r="H33" i="123"/>
  <c r="G33" i="123"/>
  <c r="F32" i="123"/>
  <c r="E32" i="123"/>
  <c r="D32" i="123"/>
  <c r="F31" i="123"/>
  <c r="F33" i="123" s="1"/>
  <c r="E31" i="123"/>
  <c r="E33" i="123" s="1"/>
  <c r="D31" i="123"/>
  <c r="D33" i="123" s="1"/>
  <c r="H8" i="123"/>
  <c r="D5" i="123"/>
  <c r="G32" i="123" s="1"/>
  <c r="H4" i="123"/>
  <c r="D4" i="123"/>
  <c r="H29" i="122"/>
  <c r="G29" i="122"/>
  <c r="F29" i="122"/>
  <c r="E29" i="122"/>
  <c r="D29" i="122"/>
  <c r="I27" i="122"/>
  <c r="H27" i="122"/>
  <c r="G27" i="122"/>
  <c r="F27" i="122"/>
  <c r="E27" i="122"/>
  <c r="D27" i="122"/>
  <c r="I26" i="122"/>
  <c r="I29" i="122" s="1"/>
  <c r="H26" i="122"/>
  <c r="G26" i="122"/>
  <c r="F26" i="122"/>
  <c r="E26" i="122"/>
  <c r="D26" i="122"/>
  <c r="D9" i="122"/>
  <c r="H8" i="122"/>
  <c r="D8" i="122"/>
  <c r="D6" i="122"/>
  <c r="D5" i="122"/>
  <c r="H4" i="122"/>
  <c r="D4" i="122"/>
  <c r="J29" i="118"/>
  <c r="J28" i="118"/>
  <c r="J26" i="118" s="1"/>
  <c r="G28" i="118"/>
  <c r="F28" i="118"/>
  <c r="E28" i="118"/>
  <c r="D28" i="118"/>
  <c r="D26" i="118" s="1"/>
  <c r="D29" i="118" s="1"/>
  <c r="J27" i="118"/>
  <c r="I27" i="118"/>
  <c r="H27" i="118"/>
  <c r="G27" i="118"/>
  <c r="F27" i="118"/>
  <c r="E27" i="118"/>
  <c r="D27" i="118"/>
  <c r="G26" i="118"/>
  <c r="G29" i="118" s="1"/>
  <c r="F26" i="118"/>
  <c r="F29" i="118" s="1"/>
  <c r="E26" i="118"/>
  <c r="E29" i="118" s="1"/>
  <c r="D9" i="118"/>
  <c r="H8" i="118"/>
  <c r="D8" i="118"/>
  <c r="D6" i="118"/>
  <c r="D5" i="118"/>
  <c r="B26" i="118" s="1"/>
  <c r="H4" i="118"/>
  <c r="D4" i="118"/>
  <c r="H24" i="190"/>
  <c r="H25" i="190" s="1"/>
  <c r="G24" i="190"/>
  <c r="G25" i="190" s="1"/>
  <c r="D24" i="190"/>
  <c r="D25" i="190" s="1"/>
  <c r="C24" i="190"/>
  <c r="C25" i="190" s="1"/>
  <c r="H23" i="190"/>
  <c r="G23" i="190"/>
  <c r="F23" i="190"/>
  <c r="E23" i="190"/>
  <c r="D23" i="190"/>
  <c r="C23" i="190"/>
  <c r="H22" i="190"/>
  <c r="G22" i="190"/>
  <c r="E22" i="190"/>
  <c r="E24" i="190" s="1"/>
  <c r="E25" i="190" s="1"/>
  <c r="D22" i="190"/>
  <c r="C22" i="190"/>
  <c r="D9" i="190"/>
  <c r="H8" i="190"/>
  <c r="D8" i="190"/>
  <c r="D6" i="190"/>
  <c r="D5" i="190"/>
  <c r="F22" i="190" s="1"/>
  <c r="F24" i="190" s="1"/>
  <c r="F25" i="190" s="1"/>
  <c r="H4" i="190"/>
  <c r="D4" i="190"/>
  <c r="N29" i="114"/>
  <c r="M29" i="114"/>
  <c r="L29" i="114"/>
  <c r="K29" i="114"/>
  <c r="J29" i="114"/>
  <c r="I29" i="114"/>
  <c r="H29" i="114"/>
  <c r="G29" i="114"/>
  <c r="F29" i="114"/>
  <c r="E29" i="114"/>
  <c r="D29" i="114"/>
  <c r="C29" i="114"/>
  <c r="N28" i="114"/>
  <c r="M28" i="114"/>
  <c r="L28" i="114"/>
  <c r="K28" i="114"/>
  <c r="J28" i="114"/>
  <c r="I28" i="114"/>
  <c r="H28" i="114"/>
  <c r="G28" i="114"/>
  <c r="F28" i="114"/>
  <c r="E28" i="114"/>
  <c r="D28" i="114"/>
  <c r="C28" i="114"/>
  <c r="N27" i="114"/>
  <c r="M27" i="114"/>
  <c r="L27" i="114"/>
  <c r="K27" i="114"/>
  <c r="J27" i="114"/>
  <c r="I27" i="114"/>
  <c r="H27" i="114"/>
  <c r="G27" i="114"/>
  <c r="F27" i="114"/>
  <c r="E27" i="114"/>
  <c r="D27" i="114"/>
  <c r="C27" i="114"/>
  <c r="D9" i="114"/>
  <c r="H8" i="114"/>
  <c r="D8" i="114"/>
  <c r="D6" i="114"/>
  <c r="D5" i="114"/>
  <c r="H4" i="114"/>
  <c r="D4" i="114"/>
  <c r="G29" i="110"/>
  <c r="F29" i="110"/>
  <c r="E29" i="110"/>
  <c r="D29" i="110"/>
  <c r="C29" i="110"/>
  <c r="G28" i="110"/>
  <c r="F28" i="110"/>
  <c r="E28" i="110"/>
  <c r="D28" i="110"/>
  <c r="C28" i="110"/>
  <c r="G27" i="110"/>
  <c r="F27" i="110"/>
  <c r="E27" i="110"/>
  <c r="D27" i="110"/>
  <c r="C27" i="110"/>
  <c r="D9" i="110"/>
  <c r="H8" i="110"/>
  <c r="D8" i="110"/>
  <c r="D6" i="110"/>
  <c r="D5" i="110"/>
  <c r="H4" i="110"/>
  <c r="D4" i="110"/>
  <c r="I32" i="188"/>
  <c r="H32" i="188"/>
  <c r="G32" i="188"/>
  <c r="I31" i="188"/>
  <c r="H31" i="188"/>
  <c r="G31" i="188"/>
  <c r="F31" i="188"/>
  <c r="E31" i="188"/>
  <c r="D31" i="188"/>
  <c r="I29" i="188"/>
  <c r="D9" i="188"/>
  <c r="H8" i="188"/>
  <c r="D8" i="188"/>
  <c r="D6" i="188"/>
  <c r="D5" i="188"/>
  <c r="F32" i="188" s="1"/>
  <c r="H4" i="188"/>
  <c r="D4" i="188"/>
  <c r="I38" i="109"/>
  <c r="H38" i="109"/>
  <c r="G38" i="109"/>
  <c r="F38" i="109"/>
  <c r="E38" i="109"/>
  <c r="D38" i="109"/>
  <c r="I35" i="109"/>
  <c r="H35" i="109"/>
  <c r="G35" i="109"/>
  <c r="F35" i="109"/>
  <c r="E35" i="109"/>
  <c r="D35" i="109"/>
  <c r="I34" i="109"/>
  <c r="H34" i="109"/>
  <c r="G34" i="109"/>
  <c r="F34" i="109"/>
  <c r="E34" i="109"/>
  <c r="D34" i="109"/>
  <c r="D9" i="109"/>
  <c r="H8" i="109"/>
  <c r="D8" i="109"/>
  <c r="D6" i="109"/>
  <c r="D5" i="109"/>
  <c r="H4" i="109"/>
  <c r="D4" i="109"/>
  <c r="H35" i="106"/>
  <c r="H33" i="106" s="1"/>
  <c r="H36" i="106" s="1"/>
  <c r="G35" i="106"/>
  <c r="G33" i="106" s="1"/>
  <c r="G36" i="106" s="1"/>
  <c r="D35" i="106"/>
  <c r="D33" i="106" s="1"/>
  <c r="D36" i="106" s="1"/>
  <c r="J34" i="106"/>
  <c r="I34" i="106"/>
  <c r="H34" i="106"/>
  <c r="G34" i="106"/>
  <c r="F34" i="106"/>
  <c r="E34" i="106"/>
  <c r="D34" i="106"/>
  <c r="B33" i="106"/>
  <c r="D9" i="106"/>
  <c r="H8" i="106"/>
  <c r="D8" i="106"/>
  <c r="D6" i="106"/>
  <c r="D5" i="106"/>
  <c r="H4" i="106"/>
  <c r="D4" i="106"/>
  <c r="J36" i="103"/>
  <c r="I36" i="103"/>
  <c r="H36" i="103"/>
  <c r="G36" i="103"/>
  <c r="F36" i="103"/>
  <c r="E36" i="103"/>
  <c r="D36" i="103"/>
  <c r="G34" i="103"/>
  <c r="F34" i="103"/>
  <c r="E34" i="103"/>
  <c r="D34" i="103"/>
  <c r="G33" i="103"/>
  <c r="F33" i="103"/>
  <c r="E33" i="103"/>
  <c r="D33" i="103"/>
  <c r="B33" i="103"/>
  <c r="D9" i="103"/>
  <c r="H8" i="103"/>
  <c r="D8" i="103"/>
  <c r="D6" i="103"/>
  <c r="D5" i="103"/>
  <c r="H4" i="103"/>
  <c r="D4" i="103"/>
  <c r="J35" i="101"/>
  <c r="I35" i="101"/>
  <c r="H35" i="101"/>
  <c r="G35" i="101"/>
  <c r="F35" i="101"/>
  <c r="E35" i="101"/>
  <c r="D35" i="101"/>
  <c r="J33" i="101"/>
  <c r="I33" i="101"/>
  <c r="H33" i="101"/>
  <c r="G33" i="101"/>
  <c r="F33" i="101"/>
  <c r="E33" i="101"/>
  <c r="D33" i="101"/>
  <c r="J32" i="101"/>
  <c r="I32" i="101"/>
  <c r="H32" i="101"/>
  <c r="G32" i="101"/>
  <c r="F32" i="101"/>
  <c r="E32" i="101"/>
  <c r="D32" i="101"/>
  <c r="D9" i="101"/>
  <c r="H8" i="101"/>
  <c r="D8" i="101"/>
  <c r="D6" i="101"/>
  <c r="D5" i="101"/>
  <c r="B32" i="101" s="1"/>
  <c r="H4" i="101"/>
  <c r="D4" i="101"/>
  <c r="I29" i="99"/>
  <c r="H29" i="99"/>
  <c r="G29" i="99"/>
  <c r="F29" i="99"/>
  <c r="E29" i="99"/>
  <c r="D29" i="99"/>
  <c r="I27" i="99"/>
  <c r="H27" i="99"/>
  <c r="G27" i="99"/>
  <c r="F27" i="99"/>
  <c r="E27" i="99"/>
  <c r="D27" i="99"/>
  <c r="I26" i="99"/>
  <c r="H26" i="99"/>
  <c r="G26" i="99"/>
  <c r="F26" i="99"/>
  <c r="E26" i="99"/>
  <c r="D26" i="99"/>
  <c r="D9" i="99"/>
  <c r="H8" i="99"/>
  <c r="D8" i="99"/>
  <c r="D6" i="99"/>
  <c r="D5" i="99"/>
  <c r="B26" i="99" s="1"/>
  <c r="H4" i="99"/>
  <c r="D4" i="99"/>
  <c r="I25" i="97"/>
  <c r="H25" i="97"/>
  <c r="G25" i="97"/>
  <c r="F25" i="97"/>
  <c r="E25" i="97"/>
  <c r="D25" i="97"/>
  <c r="H23" i="97"/>
  <c r="H24" i="97" s="1"/>
  <c r="H26" i="97" s="1"/>
  <c r="G23" i="97"/>
  <c r="G24" i="97" s="1"/>
  <c r="G26" i="97" s="1"/>
  <c r="F23" i="97"/>
  <c r="F24" i="97" s="1"/>
  <c r="F26" i="97" s="1"/>
  <c r="E23" i="97"/>
  <c r="E24" i="97" s="1"/>
  <c r="E26" i="97" s="1"/>
  <c r="D23" i="97"/>
  <c r="D24" i="97" s="1"/>
  <c r="D26" i="97" s="1"/>
  <c r="D9" i="97"/>
  <c r="H8" i="97"/>
  <c r="D8" i="97"/>
  <c r="D6" i="97"/>
  <c r="D5" i="97"/>
  <c r="I23" i="97" s="1"/>
  <c r="I24" i="97" s="1"/>
  <c r="I26" i="97" s="1"/>
  <c r="H4" i="97"/>
  <c r="D4" i="97"/>
  <c r="I37" i="95"/>
  <c r="G37" i="95"/>
  <c r="F37" i="95"/>
  <c r="E37" i="95"/>
  <c r="D37" i="95"/>
  <c r="I35" i="95"/>
  <c r="G35" i="95"/>
  <c r="F35" i="95"/>
  <c r="E35" i="95"/>
  <c r="D35" i="95"/>
  <c r="I34" i="95"/>
  <c r="G34" i="95"/>
  <c r="F34" i="95"/>
  <c r="E34" i="95"/>
  <c r="D34" i="95"/>
  <c r="B34" i="95"/>
  <c r="D9" i="95"/>
  <c r="H8" i="95"/>
  <c r="D8" i="95"/>
  <c r="D6" i="95"/>
  <c r="D5" i="95"/>
  <c r="H4" i="95"/>
  <c r="D4" i="95"/>
  <c r="H24" i="195"/>
  <c r="G24" i="195"/>
  <c r="F24" i="195"/>
  <c r="E24" i="195"/>
  <c r="D24" i="195"/>
  <c r="G23" i="195"/>
  <c r="F23" i="195"/>
  <c r="E23" i="195"/>
  <c r="D23" i="195"/>
  <c r="G22" i="195"/>
  <c r="F22" i="195"/>
  <c r="E22" i="195"/>
  <c r="D22" i="195"/>
  <c r="C22" i="195"/>
  <c r="D9" i="195"/>
  <c r="H8" i="195"/>
  <c r="D8" i="195"/>
  <c r="D6" i="195"/>
  <c r="D5" i="195"/>
  <c r="H4" i="195"/>
  <c r="D4" i="195"/>
  <c r="J26" i="181"/>
  <c r="I26" i="181"/>
  <c r="H26" i="181"/>
  <c r="G26" i="181"/>
  <c r="F26" i="181"/>
  <c r="E26" i="181"/>
  <c r="D26" i="181"/>
  <c r="J24" i="181"/>
  <c r="I24" i="181"/>
  <c r="H24" i="181"/>
  <c r="G24" i="181"/>
  <c r="F24" i="181"/>
  <c r="E24" i="181"/>
  <c r="D24" i="181"/>
  <c r="J23" i="181"/>
  <c r="I23" i="181"/>
  <c r="H23" i="181"/>
  <c r="G23" i="181"/>
  <c r="F23" i="181"/>
  <c r="E23" i="181"/>
  <c r="D23" i="181"/>
  <c r="G18" i="181"/>
  <c r="F18" i="181"/>
  <c r="D17" i="181"/>
  <c r="D16" i="181"/>
  <c r="D9" i="181"/>
  <c r="H8" i="181"/>
  <c r="D8" i="181"/>
  <c r="D6" i="181"/>
  <c r="D5" i="181"/>
  <c r="B23" i="181" s="1"/>
  <c r="H4" i="181"/>
  <c r="D4" i="181"/>
  <c r="J29" i="180"/>
  <c r="I29" i="180"/>
  <c r="H29" i="180"/>
  <c r="G29" i="180"/>
  <c r="F29" i="180"/>
  <c r="E29" i="180"/>
  <c r="D29" i="180"/>
  <c r="J27" i="180"/>
  <c r="I27" i="180"/>
  <c r="H27" i="180"/>
  <c r="G27" i="180"/>
  <c r="F27" i="180"/>
  <c r="E27" i="180"/>
  <c r="D27" i="180"/>
  <c r="J26" i="180"/>
  <c r="I26" i="180"/>
  <c r="H26" i="180"/>
  <c r="G26" i="180"/>
  <c r="F26" i="180"/>
  <c r="E26" i="180"/>
  <c r="D26" i="180"/>
  <c r="B26" i="180"/>
  <c r="F25" i="180"/>
  <c r="D25" i="180"/>
  <c r="F24" i="180"/>
  <c r="D24" i="180"/>
  <c r="F23" i="180"/>
  <c r="D23" i="180"/>
  <c r="F22" i="180"/>
  <c r="F21" i="180"/>
  <c r="D21" i="180"/>
  <c r="F18" i="180"/>
  <c r="D18" i="180"/>
  <c r="D17" i="180"/>
  <c r="F15" i="180"/>
  <c r="D15" i="180"/>
  <c r="D9" i="180"/>
  <c r="H8" i="180"/>
  <c r="D8" i="180"/>
  <c r="D6" i="180"/>
  <c r="D5" i="180"/>
  <c r="H4" i="180"/>
  <c r="D4" i="180"/>
  <c r="J36" i="93"/>
  <c r="I36" i="93"/>
  <c r="H36" i="93"/>
  <c r="G36" i="93"/>
  <c r="F36" i="93"/>
  <c r="E36" i="93"/>
  <c r="D36" i="93"/>
  <c r="J34" i="93"/>
  <c r="I34" i="93"/>
  <c r="H34" i="93"/>
  <c r="G34" i="93"/>
  <c r="F34" i="93"/>
  <c r="E34" i="93"/>
  <c r="D34" i="93"/>
  <c r="J33" i="93"/>
  <c r="I33" i="93"/>
  <c r="H33" i="93"/>
  <c r="G33" i="93"/>
  <c r="F33" i="93"/>
  <c r="E33" i="93"/>
  <c r="D33" i="93"/>
  <c r="D9" i="93"/>
  <c r="H8" i="93"/>
  <c r="D8" i="93"/>
  <c r="D6" i="93"/>
  <c r="D5" i="93"/>
  <c r="B33" i="93" s="1"/>
  <c r="H4" i="93"/>
  <c r="D4" i="93"/>
  <c r="J31" i="91"/>
  <c r="I31" i="91"/>
  <c r="H31" i="91"/>
  <c r="G31" i="91"/>
  <c r="F31" i="91"/>
  <c r="E31" i="91"/>
  <c r="D31" i="91"/>
  <c r="D9" i="91"/>
  <c r="H8" i="91"/>
  <c r="D8" i="91"/>
  <c r="D6" i="91"/>
  <c r="D5" i="91"/>
  <c r="H4" i="91"/>
  <c r="D4" i="91"/>
  <c r="J19" i="219"/>
  <c r="I19" i="219"/>
  <c r="H19" i="219"/>
  <c r="G19" i="219"/>
  <c r="J17" i="219"/>
  <c r="I17" i="219"/>
  <c r="H17" i="219"/>
  <c r="G17" i="219"/>
  <c r="D9" i="219"/>
  <c r="H8" i="219"/>
  <c r="D8" i="219"/>
  <c r="D6" i="219"/>
  <c r="D5" i="219"/>
  <c r="H4" i="219"/>
  <c r="D4" i="219"/>
  <c r="J19" i="218"/>
  <c r="I19" i="218"/>
  <c r="H19" i="218"/>
  <c r="G19" i="218"/>
  <c r="J17" i="218"/>
  <c r="I17" i="218"/>
  <c r="H17" i="218"/>
  <c r="G17" i="218"/>
  <c r="D9" i="218"/>
  <c r="H8" i="218"/>
  <c r="D8" i="218"/>
  <c r="D6" i="218"/>
  <c r="D5" i="218"/>
  <c r="H4" i="218"/>
  <c r="D4" i="218"/>
  <c r="K19" i="79"/>
  <c r="J19" i="79"/>
  <c r="I19" i="79"/>
  <c r="H19" i="79"/>
  <c r="G19" i="79"/>
  <c r="F19" i="79"/>
  <c r="K17" i="79"/>
  <c r="J17" i="79"/>
  <c r="I17" i="79"/>
  <c r="H17" i="79"/>
  <c r="G17" i="79"/>
  <c r="F17" i="79"/>
  <c r="D9" i="79"/>
  <c r="H8" i="79"/>
  <c r="D8" i="79"/>
  <c r="D6" i="79"/>
  <c r="D5" i="79"/>
  <c r="H4" i="79"/>
  <c r="D4" i="79"/>
  <c r="G33" i="86"/>
  <c r="F33" i="86"/>
  <c r="E33" i="86"/>
  <c r="D33" i="86"/>
  <c r="G31" i="86"/>
  <c r="F31" i="86"/>
  <c r="E31" i="86"/>
  <c r="D31" i="86"/>
  <c r="G30" i="86"/>
  <c r="F30" i="86"/>
  <c r="E30" i="86"/>
  <c r="D30" i="86"/>
  <c r="D9" i="86"/>
  <c r="G8" i="86"/>
  <c r="D8" i="86"/>
  <c r="D6" i="86"/>
  <c r="D5" i="86"/>
  <c r="G4" i="86"/>
  <c r="D4" i="86"/>
  <c r="H25" i="85"/>
  <c r="G25" i="85"/>
  <c r="F25" i="85"/>
  <c r="E25" i="85"/>
  <c r="D25" i="85"/>
  <c r="H23" i="85"/>
  <c r="E23" i="85"/>
  <c r="D23" i="85"/>
  <c r="H22" i="85"/>
  <c r="F22" i="85"/>
  <c r="E22" i="85"/>
  <c r="D22" i="85"/>
  <c r="D9" i="85"/>
  <c r="H8" i="85"/>
  <c r="D8" i="85"/>
  <c r="D6" i="85"/>
  <c r="D5" i="85"/>
  <c r="H4" i="85"/>
  <c r="D4" i="85"/>
  <c r="H29" i="84"/>
  <c r="G29" i="84"/>
  <c r="F29" i="84"/>
  <c r="E29" i="84"/>
  <c r="D29" i="84"/>
  <c r="H27" i="84"/>
  <c r="G27" i="84"/>
  <c r="F27" i="84"/>
  <c r="E27" i="84"/>
  <c r="D27" i="84"/>
  <c r="H26" i="84"/>
  <c r="G26" i="84"/>
  <c r="F26" i="84"/>
  <c r="E26" i="84"/>
  <c r="D26" i="84"/>
  <c r="D9" i="84"/>
  <c r="H8" i="84"/>
  <c r="D8" i="84"/>
  <c r="D6" i="84"/>
  <c r="D5" i="84"/>
  <c r="H4" i="84"/>
  <c r="D4" i="84"/>
  <c r="J30" i="83"/>
  <c r="I30" i="83"/>
  <c r="H30" i="83"/>
  <c r="G30" i="83"/>
  <c r="F30" i="83"/>
  <c r="E30" i="83"/>
  <c r="D30" i="83"/>
  <c r="J29" i="83"/>
  <c r="I29" i="83"/>
  <c r="H29" i="83"/>
  <c r="G29" i="83"/>
  <c r="F29" i="83"/>
  <c r="E29" i="83"/>
  <c r="D29" i="83"/>
  <c r="J28" i="83"/>
  <c r="I28" i="83"/>
  <c r="H28" i="83"/>
  <c r="G28" i="83"/>
  <c r="F28" i="83"/>
  <c r="E28" i="83"/>
  <c r="D28" i="83"/>
  <c r="D9" i="83"/>
  <c r="H8" i="83"/>
  <c r="D8" i="83"/>
  <c r="D6" i="83"/>
  <c r="D5" i="83"/>
  <c r="H4" i="83"/>
  <c r="D4" i="83"/>
  <c r="I18" i="222"/>
  <c r="H18" i="222"/>
  <c r="G18" i="222"/>
  <c r="F18" i="222"/>
  <c r="E18" i="222"/>
  <c r="D18" i="222"/>
  <c r="D9" i="222"/>
  <c r="H8" i="222"/>
  <c r="D8" i="222"/>
  <c r="D6" i="222"/>
  <c r="D5" i="222"/>
  <c r="H4" i="222"/>
  <c r="D4" i="222"/>
  <c r="I17" i="194"/>
  <c r="H17" i="194"/>
  <c r="G17" i="194"/>
  <c r="F17" i="194"/>
  <c r="E17" i="194"/>
  <c r="D17" i="194"/>
  <c r="D9" i="194"/>
  <c r="H8" i="194"/>
  <c r="D8" i="194"/>
  <c r="D6" i="194"/>
  <c r="D5" i="194"/>
  <c r="H4" i="194"/>
  <c r="D4" i="194"/>
  <c r="D9" i="217"/>
  <c r="H8" i="217"/>
  <c r="D8" i="217"/>
  <c r="D6" i="217"/>
  <c r="D5" i="217"/>
  <c r="E15" i="217" s="1"/>
  <c r="E16" i="217" s="1"/>
  <c r="H4" i="217"/>
  <c r="D4" i="217"/>
  <c r="F15" i="214"/>
  <c r="F16" i="214" s="1"/>
  <c r="E15" i="214"/>
  <c r="E16" i="214" s="1"/>
  <c r="D9" i="214"/>
  <c r="G8" i="214"/>
  <c r="D8" i="214"/>
  <c r="D5" i="214"/>
  <c r="D15" i="214" s="1"/>
  <c r="D16" i="214" s="1"/>
  <c r="G4" i="214"/>
  <c r="D4" i="214"/>
  <c r="D16" i="215"/>
  <c r="C16" i="215"/>
  <c r="C9" i="215"/>
  <c r="G8" i="215"/>
  <c r="C8" i="215"/>
  <c r="C6" i="215"/>
  <c r="C5" i="215"/>
  <c r="G4" i="215"/>
  <c r="C4" i="215"/>
  <c r="H15" i="2"/>
  <c r="H16" i="2" s="1"/>
  <c r="G15" i="2"/>
  <c r="G16" i="2" s="1"/>
  <c r="F15" i="2"/>
  <c r="F16" i="2" s="1"/>
  <c r="E15" i="2"/>
  <c r="E16" i="2" s="1"/>
  <c r="D9" i="2"/>
  <c r="H8" i="2"/>
  <c r="D8" i="2"/>
  <c r="D6" i="2"/>
  <c r="D5" i="2"/>
  <c r="H4" i="2"/>
  <c r="D4" i="2"/>
  <c r="J17" i="178"/>
  <c r="I17" i="178"/>
  <c r="H17" i="178"/>
  <c r="G17" i="178"/>
  <c r="F17" i="178"/>
  <c r="J16" i="178"/>
  <c r="I16" i="178"/>
  <c r="H16" i="178"/>
  <c r="F16" i="178"/>
  <c r="E16" i="178"/>
  <c r="E17" i="178" s="1"/>
  <c r="D16" i="178"/>
  <c r="D17" i="178" s="1"/>
  <c r="D9" i="178"/>
  <c r="H8" i="178"/>
  <c r="D8" i="178"/>
  <c r="D6" i="178"/>
  <c r="D5" i="178"/>
  <c r="G16" i="178" s="1"/>
  <c r="H4" i="178"/>
  <c r="D4" i="178"/>
  <c r="C29" i="161" l="1"/>
  <c r="G28" i="161"/>
  <c r="D29" i="161"/>
  <c r="H28" i="161"/>
  <c r="E29" i="161"/>
  <c r="F29" i="161"/>
  <c r="G29" i="161"/>
  <c r="H29" i="161"/>
  <c r="D28" i="161"/>
  <c r="E28" i="161"/>
  <c r="F28" i="161"/>
  <c r="I35" i="166"/>
  <c r="I33" i="166" s="1"/>
  <c r="I36" i="166" s="1"/>
  <c r="H35" i="166"/>
  <c r="H33" i="166" s="1"/>
  <c r="H36" i="166" s="1"/>
  <c r="G35" i="166"/>
  <c r="G33" i="166" s="1"/>
  <c r="G36" i="166" s="1"/>
  <c r="E35" i="166"/>
  <c r="E33" i="166" s="1"/>
  <c r="E36" i="166" s="1"/>
  <c r="D35" i="166"/>
  <c r="D33" i="166" s="1"/>
  <c r="D36" i="166" s="1"/>
  <c r="B33" i="166"/>
  <c r="J15" i="2"/>
  <c r="J16" i="2" s="1"/>
  <c r="I15" i="2"/>
  <c r="I16" i="2" s="1"/>
  <c r="F35" i="169"/>
  <c r="F33" i="169" s="1"/>
  <c r="F36" i="169" s="1"/>
  <c r="E35" i="169"/>
  <c r="E33" i="169" s="1"/>
  <c r="E36" i="169" s="1"/>
  <c r="D35" i="169"/>
  <c r="D33" i="169" s="1"/>
  <c r="D36" i="169" s="1"/>
  <c r="B33" i="169"/>
  <c r="E32" i="91"/>
  <c r="E30" i="91" s="1"/>
  <c r="E33" i="91" s="1"/>
  <c r="D32" i="91"/>
  <c r="F32" i="91"/>
  <c r="F30" i="91" s="1"/>
  <c r="F33" i="91" s="1"/>
  <c r="H32" i="91"/>
  <c r="H30" i="91" s="1"/>
  <c r="H33" i="91" s="1"/>
  <c r="D35" i="191"/>
  <c r="D33" i="191" s="1"/>
  <c r="D36" i="191" s="1"/>
  <c r="D15" i="217"/>
  <c r="D16" i="217" s="1"/>
  <c r="I32" i="91"/>
  <c r="I30" i="91" s="1"/>
  <c r="I33" i="91" s="1"/>
  <c r="G35" i="169"/>
  <c r="G33" i="169" s="1"/>
  <c r="G36" i="169" s="1"/>
  <c r="E35" i="191"/>
  <c r="E33" i="191" s="1"/>
  <c r="E36" i="191" s="1"/>
  <c r="J32" i="91"/>
  <c r="J30" i="91" s="1"/>
  <c r="J33" i="91" s="1"/>
  <c r="J35" i="106"/>
  <c r="J33" i="106" s="1"/>
  <c r="J36" i="106" s="1"/>
  <c r="I35" i="106"/>
  <c r="I33" i="106" s="1"/>
  <c r="I36" i="106" s="1"/>
  <c r="F35" i="106"/>
  <c r="F33" i="106" s="1"/>
  <c r="F36" i="106" s="1"/>
  <c r="E35" i="106"/>
  <c r="E33" i="106" s="1"/>
  <c r="E36" i="106" s="1"/>
  <c r="H35" i="169"/>
  <c r="H33" i="169" s="1"/>
  <c r="H36" i="169" s="1"/>
  <c r="B33" i="191"/>
  <c r="J35" i="191"/>
  <c r="J33" i="191" s="1"/>
  <c r="J36" i="191" s="1"/>
  <c r="I35" i="191"/>
  <c r="I33" i="191" s="1"/>
  <c r="I36" i="191" s="1"/>
  <c r="H15" i="217"/>
  <c r="H16" i="217" s="1"/>
  <c r="G15" i="217"/>
  <c r="G16" i="217" s="1"/>
  <c r="F15" i="217"/>
  <c r="F16" i="217" s="1"/>
  <c r="G32" i="91"/>
  <c r="G30" i="91" s="1"/>
  <c r="G33" i="91" s="1"/>
  <c r="D15" i="2"/>
  <c r="D16" i="2" s="1"/>
  <c r="G35" i="191"/>
  <c r="G33" i="191" s="1"/>
  <c r="G36" i="191" s="1"/>
  <c r="D36" i="168"/>
  <c r="D34" i="168" s="1"/>
  <c r="D37" i="168" s="1"/>
  <c r="B34" i="168"/>
  <c r="J36" i="168"/>
  <c r="J34" i="168" s="1"/>
  <c r="J37" i="168" s="1"/>
  <c r="I36" i="168"/>
  <c r="I34" i="168" s="1"/>
  <c r="I37" i="168" s="1"/>
  <c r="E36" i="168"/>
  <c r="E34" i="168" s="1"/>
  <c r="E37" i="168" s="1"/>
  <c r="I35" i="169"/>
  <c r="I33" i="169" s="1"/>
  <c r="I36" i="169" s="1"/>
  <c r="F35" i="166"/>
  <c r="F33" i="166" s="1"/>
  <c r="F36" i="166" s="1"/>
  <c r="G36" i="168"/>
  <c r="G34" i="168" s="1"/>
  <c r="G37" i="168" s="1"/>
  <c r="H36" i="168"/>
  <c r="H34" i="168" s="1"/>
  <c r="H37" i="168" s="1"/>
  <c r="H28" i="177"/>
  <c r="H26" i="177" s="1"/>
  <c r="H29" i="177" s="1"/>
  <c r="G28" i="177"/>
  <c r="G26" i="177" s="1"/>
  <c r="G29" i="177" s="1"/>
  <c r="F28" i="177"/>
  <c r="F26" i="177" s="1"/>
  <c r="F29" i="177" s="1"/>
  <c r="E28" i="177"/>
  <c r="E26" i="177" s="1"/>
  <c r="E29" i="177" s="1"/>
  <c r="D28" i="177"/>
  <c r="D26" i="177" s="1"/>
  <c r="D29" i="177" s="1"/>
  <c r="B26" i="177"/>
  <c r="I28" i="177"/>
  <c r="I26" i="177" s="1"/>
  <c r="I29" i="177" s="1"/>
  <c r="H28" i="118"/>
  <c r="H26" i="118" s="1"/>
  <c r="H29" i="118" s="1"/>
  <c r="F35" i="167"/>
  <c r="F33" i="167" s="1"/>
  <c r="F36" i="167" s="1"/>
  <c r="I28" i="118"/>
  <c r="I26" i="118" s="1"/>
  <c r="I29" i="118" s="1"/>
  <c r="D32" i="188"/>
  <c r="E32" i="188"/>
  <c r="D31" i="159"/>
  <c r="D29" i="159" s="1"/>
  <c r="D32" i="159" s="1"/>
  <c r="F26" i="227"/>
  <c r="F30" i="227" s="1"/>
  <c r="I26" i="227"/>
  <c r="L26" i="227"/>
  <c r="O26" i="227"/>
  <c r="O30" i="227"/>
  <c r="O28" i="227"/>
  <c r="N30" i="227"/>
  <c r="M28" i="227"/>
  <c r="L30" i="227"/>
  <c r="L28" i="227"/>
  <c r="J28" i="227"/>
  <c r="K28" i="227"/>
  <c r="I30" i="227"/>
  <c r="I28" i="227"/>
  <c r="G28" i="227"/>
  <c r="H28" i="227"/>
  <c r="D28" i="227"/>
  <c r="E28" i="227"/>
  <c r="H23" i="226"/>
  <c r="H25" i="226" s="1" a="1"/>
  <c r="H25" i="226" s="1"/>
  <c r="D30" i="91" l="1"/>
  <c r="D33" i="91" s="1"/>
  <c r="B30" i="91"/>
  <c r="F28" i="227"/>
  <c r="A60" i="1"/>
  <c r="A60" i="1"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Sara Bertobillo Cunill</author>
  </authors>
  <commentList>
    <comment ref="B17" authorId="0" shapeId="0" xr:uid="{F3034BEE-B016-4D76-AC43-63AC74C09B6C}">
      <text>
        <r>
          <rPr>
            <b/>
            <sz val="9"/>
            <color indexed="81"/>
            <rFont val="Tahoma"/>
            <family val="2"/>
          </rPr>
          <t>Sara Bertobillo Cunill:</t>
        </r>
        <r>
          <rPr>
            <sz val="9"/>
            <color indexed="81"/>
            <rFont val="Tahoma"/>
            <family val="2"/>
          </rPr>
          <t xml:space="preserve">
Perquè està dues vegades estadística i amb dades diferents?</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<sst xmlns="http://schemas.openxmlformats.org/spreadsheetml/2006/main" count="4318" uniqueCount="658">
  <si>
    <t>Catàleg d'Indicadors del SGIQ de la Facultat de Ciències (UAB)</t>
  </si>
  <si>
    <t>Codi SGIQ</t>
  </si>
  <si>
    <t>Nom</t>
  </si>
  <si>
    <t>Propietari del Procés</t>
  </si>
  <si>
    <t>Responsable de la gestió</t>
  </si>
  <si>
    <t>Objectiu</t>
  </si>
  <si>
    <t>Processos vinculats</t>
  </si>
  <si>
    <t>Objectiu de Qualitat/Pla Estratègic</t>
  </si>
  <si>
    <t>PE1.01_Ind01.</t>
  </si>
  <si>
    <t>Degà</t>
  </si>
  <si>
    <t>Gestora de Qualitat</t>
  </si>
  <si>
    <t xml:space="preserve"> PE1.01. Definició de la Política de Qualitat</t>
  </si>
  <si>
    <t>PE1.01_Ind02.</t>
  </si>
  <si>
    <t>Percentatge de propostes de millora implementades, per curs acadèmic</t>
  </si>
  <si>
    <t>PE1-01_Ind03</t>
  </si>
  <si>
    <t>Número d'accions implantades,a  la Facultat de Ciències, directament relacionades amb els ODS (Pla Estratègic 2022/2023 fins 2024/2025)</t>
  </si>
  <si>
    <t>3 accions dins el mandat</t>
  </si>
  <si>
    <t>Pla Estratègic</t>
  </si>
  <si>
    <t>PE1.01_Ind04</t>
  </si>
  <si>
    <t>Percentatge d'assistència, del degà, a les sessions de les Comissions del Rectorat  (Pla Estratègic 2022/2023 fins 2024/2025)</t>
  </si>
  <si>
    <t>PE1.02_Ind01.</t>
  </si>
  <si>
    <t>Percentatge de processos modificats a cada revisió</t>
  </si>
  <si>
    <t xml:space="preserve"> Vicedegana d'Afers Acadèmics de Grau</t>
  </si>
  <si>
    <t xml:space="preserve"> PE1.02. Definició, Desplegament, Seguiment i Revisió del Sistema de Garantia Interna de Qualitat (SGIQ)</t>
  </si>
  <si>
    <t>PE1.02_Ind02.</t>
  </si>
  <si>
    <t>Nombre d'informes de qualitat presentats a la Junta Permanent i/o Junta de Facultat</t>
  </si>
  <si>
    <t>mínim 2</t>
  </si>
  <si>
    <t>PE1.02_Ind03</t>
  </si>
  <si>
    <t>Distribució per categories del personal de gestió de qualitat a la Facultat de Ciències.</t>
  </si>
  <si>
    <t>PE1.03_Ind01.</t>
  </si>
  <si>
    <t>Ràtio de places en primera opció versus places ofertades, per curs acadèmic i titulació</t>
  </si>
  <si>
    <t>Vicedegà d’Economia i Afers Acadèmics de Postgrau</t>
  </si>
  <si>
    <t>≥ 0.8</t>
  </si>
  <si>
    <t>PE1.03. Creació,  Disseny i Extinció de Titulacions. Mapa de Titulacions</t>
  </si>
  <si>
    <t>PE1.03_Ind02</t>
  </si>
  <si>
    <t>≥ 50%</t>
  </si>
  <si>
    <t>PE1.03_Ind03</t>
  </si>
  <si>
    <t>≥ 85%</t>
  </si>
  <si>
    <t>PE1.03_Ind04</t>
  </si>
  <si>
    <t xml:space="preserve">Taxa d’ocupació de les persones titulades, per titulació </t>
  </si>
  <si>
    <t>≥70%</t>
  </si>
  <si>
    <t>PE1.03_Ind05</t>
  </si>
  <si>
    <t>Percentatge de titulacions coordinades que s’han presentat a AQU per ser verificades, en relació amb la totalitat de titulacions coordinades</t>
  </si>
  <si>
    <t>&lt;25%</t>
  </si>
  <si>
    <t>PE1.03_Ind06</t>
  </si>
  <si>
    <t>Percentatge de titulacions extingides en comparació amb la totalitat de titulacions coordinades per la Facultat.</t>
  </si>
  <si>
    <t>PE1.03_Ind07</t>
  </si>
  <si>
    <t>Percentatge de titulacions híbrides coordinades.</t>
  </si>
  <si>
    <t>&lt;10%</t>
  </si>
  <si>
    <t>PC2.01_Ind01</t>
  </si>
  <si>
    <t>Percentatge de guies docents publicades respecte a les assignatures programades</t>
  </si>
  <si>
    <t>PC2.01. Planificació i Programació d’Assignatures. Guies Docents</t>
  </si>
  <si>
    <t>PC2.01_Ind02</t>
  </si>
  <si>
    <t xml:space="preserve">Percentatge d’hores de docència impartides per PDI amb títol de Doctor </t>
  </si>
  <si>
    <t>PC2.01_Ind03</t>
  </si>
  <si>
    <t>Valoració mitjana a l’afirmació “Fins ara s’ha seguit la programació de l’assignatura que s’explica a la guia docent dels Graus"</t>
  </si>
  <si>
    <t>≥3</t>
  </si>
  <si>
    <t>PC2.02. Programació de Treball de Fi d'Estudis (TFE)</t>
  </si>
  <si>
    <t>PC2.01_Ind04</t>
  </si>
  <si>
    <t xml:space="preserve">Valoració mitjana a l’afirmació “Fins ara s’ha seguit la programació de l’assignatura que s’explica a la guia docent dels Màsters"  </t>
  </si>
  <si>
    <t>PC2.01_Ind05</t>
  </si>
  <si>
    <t>Evolució del número d'assignatures en anglès als Màsters oficials de la Facultat (Pla Estratègic 2022/2023 a 2024/2025)</t>
  </si>
  <si>
    <t>PC2.02_Ind01.</t>
  </si>
  <si>
    <t>Grau de satisfacció dels/de les estudiants amb el TFE, segons les enquestes d’avaluació corresponents (enquesta titulats)</t>
  </si>
  <si>
    <t>≥3,5</t>
  </si>
  <si>
    <t>PC2.03_Ind01.</t>
  </si>
  <si>
    <t xml:space="preserve">Persona responsable de convenis i pràctiques dins la Gestió Acadèmica </t>
  </si>
  <si>
    <t>PC2.03 Programació de Pràctiques Externes (PE)</t>
  </si>
  <si>
    <t xml:space="preserve">PC2.03_Ind02. </t>
  </si>
  <si>
    <t xml:space="preserve"> Grau de satisfacció dels/de les participants en programes de Pràctiques Externes. (Graus) (Enquesta Titulats)</t>
  </si>
  <si>
    <t xml:space="preserve"> PC2.04_Ind01.</t>
  </si>
  <si>
    <t>Nombre de Comissions de Docència realitzades per curs i titulació</t>
  </si>
  <si>
    <t>≥1</t>
  </si>
  <si>
    <t>PC2.04. Seguiment  i Millora de Titulacions</t>
  </si>
  <si>
    <t xml:space="preserve">PC2.04_Ind02. </t>
  </si>
  <si>
    <t>Taxa d’abandonament a primer curs a temps complert</t>
  </si>
  <si>
    <t>≤25%</t>
  </si>
  <si>
    <t xml:space="preserve">PC2.04_Ind03. </t>
  </si>
  <si>
    <t>Taxa d’eficiència per titulació</t>
  </si>
  <si>
    <t>PC2.04_Ind04.</t>
  </si>
  <si>
    <r>
      <rPr>
        <sz val="10"/>
        <rFont val="Calibri"/>
        <family val="2"/>
      </rPr>
      <t>≥</t>
    </r>
    <r>
      <rPr>
        <sz val="10"/>
        <rFont val="Century Gothic"/>
        <family val="2"/>
      </rPr>
      <t>80%</t>
    </r>
  </si>
  <si>
    <t>PC2.05_Ind01.</t>
  </si>
  <si>
    <t>PC2.05. Modificació de Titulacions</t>
  </si>
  <si>
    <t xml:space="preserve">PC3.01_Ind01. </t>
  </si>
  <si>
    <t xml:space="preserve">Ràtio de sol.licituds en 1a preferència per l'oferta </t>
  </si>
  <si>
    <t xml:space="preserve">Gestor Acadèmic </t>
  </si>
  <si>
    <t>PC3.01. Accés a Estudis i Perfils d’Ingrés</t>
  </si>
  <si>
    <t>PC3.01_Ind02.</t>
  </si>
  <si>
    <t>Percentatge d’homes i dones matriculats per curs acadèmic i titulació</t>
  </si>
  <si>
    <t>40-60%</t>
  </si>
  <si>
    <t>PC3.01_Ind03.</t>
  </si>
  <si>
    <t>Percentatge global d’alumnat matriculat als màsters oficials provinent de l’estranger</t>
  </si>
  <si>
    <t>PC3.01_Ind04.</t>
  </si>
  <si>
    <t>Taxa de rendiment de nou accés per Grau</t>
  </si>
  <si>
    <t>PC3.02_Ind01.</t>
  </si>
  <si>
    <t xml:space="preserve">Valoració mitjana a l’afirmació “La tutorització ha estat útil i ha contribuït a millorar el meu aprenentatge” per titulació (objectiu ≥3 sobre 5) </t>
  </si>
  <si>
    <t>Vicedegà d'Alumnat i de Promoció</t>
  </si>
  <si>
    <t>PC3.02. Tutorització de l’Alumnat</t>
  </si>
  <si>
    <t xml:space="preserve">PC3.03_Ind01. </t>
  </si>
  <si>
    <t xml:space="preserve">Nombre de convenis de mobilitat </t>
  </si>
  <si>
    <t xml:space="preserve">Vicedegana d’Intercanvis </t>
  </si>
  <si>
    <t xml:space="preserve">Responsable d’Intercanvis de la GA del centre </t>
  </si>
  <si>
    <t>PC3.03. Mobilitat de l’Alumnat</t>
  </si>
  <si>
    <t xml:space="preserve">PC3.03_Ind02. </t>
  </si>
  <si>
    <t>Valoració mitjana a l’afirmació “Les accions de mobilitat que he realitzat han estat rellevants per al meu aprenentatge” (Objectiu ≥3 sobre 5)</t>
  </si>
  <si>
    <t>PC3.03_Ind03</t>
  </si>
  <si>
    <t>Percentatge d’alumnat estranger (Graus)</t>
  </si>
  <si>
    <t xml:space="preserve">PC3.03_Ind04 </t>
  </si>
  <si>
    <t>Percentatge d’alumnat rebut per mitjà de programes de mobilitat (Incoming_ Graus)</t>
  </si>
  <si>
    <t>PC3.03_Ind05</t>
  </si>
  <si>
    <t>Percentatge d’alumnat sortint per mitjà de programes de mobilitat (outgoing_ Graus)</t>
  </si>
  <si>
    <t>PC3.04_Ind01.</t>
  </si>
  <si>
    <t xml:space="preserve">Taxa de rendiment per curs acadèmic i titulació  </t>
  </si>
  <si>
    <r>
      <rPr>
        <sz val="10"/>
        <rFont val="Calibri"/>
        <family val="2"/>
      </rPr>
      <t>≥</t>
    </r>
    <r>
      <rPr>
        <sz val="10"/>
        <rFont val="Century Gothic"/>
        <family val="2"/>
      </rPr>
      <t xml:space="preserve"> 80%</t>
    </r>
  </si>
  <si>
    <t>PC3.04. Avaluació de l’Alumnat</t>
  </si>
  <si>
    <t xml:space="preserve">PC3.04_Ind02. </t>
  </si>
  <si>
    <r>
      <rPr>
        <sz val="10"/>
        <rFont val="Calibri"/>
        <family val="2"/>
      </rPr>
      <t>≥</t>
    </r>
    <r>
      <rPr>
        <sz val="10"/>
        <rFont val="Century Gothic"/>
        <family val="2"/>
      </rPr>
      <t xml:space="preserve"> 3</t>
    </r>
  </si>
  <si>
    <t>PC3.04_Ind03.</t>
  </si>
  <si>
    <t>Valoració mitjana a l’afirmació “Els continguts de les proves i altres activitats d’avaluació es corresponen amb els continguts del curs i també amb el temps que el professorat va dedicar a cada tema</t>
  </si>
  <si>
    <t>≥ 3</t>
  </si>
  <si>
    <t>PC3.05_Ind01.</t>
  </si>
  <si>
    <t>Nombre de persones inscrites a les Jornades de Portes Obertes</t>
  </si>
  <si>
    <t xml:space="preserve">Vicedegà d’Alumnat i de Promoció  </t>
  </si>
  <si>
    <t xml:space="preserve">Secretària de Deganat </t>
  </si>
  <si>
    <t>≥ 2000</t>
  </si>
  <si>
    <t>PC3.05. Activitats de Promoció i Difusió</t>
  </si>
  <si>
    <t>PC3.05_Ind02.</t>
  </si>
  <si>
    <t xml:space="preserve">PS4.01_Ind01. </t>
  </si>
  <si>
    <t>PS4.01. Organització Acadèmica</t>
  </si>
  <si>
    <t xml:space="preserve">PS4.01_Ind02. </t>
  </si>
  <si>
    <t xml:space="preserve">PS4.02_Ind01. </t>
  </si>
  <si>
    <t>Percentatge de Taules de Mesures Correctores (TMC) retornades respecte de les TMC emeses</t>
  </si>
  <si>
    <t>Administradora de Centre</t>
  </si>
  <si>
    <t>PS4.02. Gestió de la Política de PAS</t>
  </si>
  <si>
    <t>PS4.02_Ind02.</t>
  </si>
  <si>
    <t>PS4.02_Ind03.</t>
  </si>
  <si>
    <t>PS4.02_Ind04.</t>
  </si>
  <si>
    <t xml:space="preserve">PS4.03_Ind01. </t>
  </si>
  <si>
    <t xml:space="preserve">PS4.03. Gestió de la Política de PDI  </t>
  </si>
  <si>
    <t xml:space="preserve">PS4.03_Ind02. </t>
  </si>
  <si>
    <t>Percentatge d’hores de docència impartides per PDI amb títol de doctor (Graus)</t>
  </si>
  <si>
    <t>≥ 70%</t>
  </si>
  <si>
    <t xml:space="preserve">PS4.03_Ind03. </t>
  </si>
  <si>
    <t xml:space="preserve">≥ 55% </t>
  </si>
  <si>
    <t xml:space="preserve"> PS4.03_Ind04. </t>
  </si>
  <si>
    <t xml:space="preserve">Valoració mitjana per titulació a l’afirmació “Estic satisfet/a amb el professorat”, de l’enquesta de satisfacció dels titulats i titulades
</t>
  </si>
  <si>
    <t>PS4.03_Ind05.</t>
  </si>
  <si>
    <t>PS4.03_Ind06.</t>
  </si>
  <si>
    <t>1 bimensual</t>
  </si>
  <si>
    <t xml:space="preserve"> PS4.04_Ind01. </t>
  </si>
  <si>
    <t>Vicedegà d'Economia i d’Afers Acadèmics de Postgrau</t>
  </si>
  <si>
    <t>Gestora Econòmica</t>
  </si>
  <si>
    <t xml:space="preserve"> PS4.04 Gestió d’Espais i Equipaments</t>
  </si>
  <si>
    <t xml:space="preserve"> PS4.04_Ind03.  </t>
  </si>
  <si>
    <t>Valoració mitjana de la pregunta “Les instal·lacions (aules i espais docents) han estat adequades per afavorir el meu aprenentatge”.</t>
  </si>
  <si>
    <t xml:space="preserve"> </t>
  </si>
  <si>
    <t xml:space="preserve">PS4.04_Ind02. </t>
  </si>
  <si>
    <t>Import de la despesa econòmica que s’ha invertit a l’Edifici C en concepte de manteniment correctiu i preventiu (funcionament)</t>
  </si>
  <si>
    <t>Destinar el 100% dels recursos disponibles</t>
  </si>
  <si>
    <t xml:space="preserve"> PS4.05_Ind01.</t>
  </si>
  <si>
    <t>Els recursos facilitats pels serveis de biblioteca i de suport a la docència han respost a les meves necessitats (Enquesta sobre el grau de satisfacció dels egressats i de les egressades de la UAB)</t>
  </si>
  <si>
    <t>PS4.05. Gestió de Serveis</t>
  </si>
  <si>
    <t xml:space="preserve">PS4.05_Ind02. </t>
  </si>
  <si>
    <t>L’ús del Campus Virtual ha facilitat el meu aprenentatge (Enquestes sobre el grau de satisfacció dels egressats i de les egressades de la UAB)</t>
  </si>
  <si>
    <t xml:space="preserve"> PS5.03_Ind01.</t>
  </si>
  <si>
    <t xml:space="preserve"> PS5.03_Ind02. </t>
  </si>
  <si>
    <t xml:space="preserve"> Nombre d’alumnes que realitzen Pràctiques curriculars desglossat per curs acadèmic i per titulació. </t>
  </si>
  <si>
    <t>PS05.03. Inserció laboral</t>
  </si>
  <si>
    <t xml:space="preserve"> PS5.03_Ind03. </t>
  </si>
  <si>
    <t>Valoració mitjana a l’afirmació “La formació rebuda m’ha permès millorar les capacitats per a l’activitat professional”.</t>
  </si>
  <si>
    <t>PS5.04. Satisfacció dels Grups d’Interès</t>
  </si>
  <si>
    <t>PS5.03_Ind04.</t>
  </si>
  <si>
    <t>Responsable de Pràctiques</t>
  </si>
  <si>
    <t xml:space="preserve"> PS5.04_Ind01. </t>
  </si>
  <si>
    <t>Percentatge de participació a les enquestes d’avaluació docent, desglossat per titulacions.</t>
  </si>
  <si>
    <t xml:space="preserve"> PS5.04_Ind02. </t>
  </si>
  <si>
    <t>Percentatge de participació a les enquestes de satisfacció de les assignatures, desglossat per titulacions.</t>
  </si>
  <si>
    <t xml:space="preserve"> PS5.04_Ind03. </t>
  </si>
  <si>
    <t>Valoració mitjana per titulació de l’afirmació “Estic satisfet/a amb la titulació” a les enquestes de satisfacció de la UAB.</t>
  </si>
  <si>
    <t xml:space="preserve"> PS5.04_Ind04. </t>
  </si>
  <si>
    <t>Percentatge de respostes per titulació de l’afirmació “Tornaria a triar la mateixa titulació” a les enquestes de satisfacció de la UAB</t>
  </si>
  <si>
    <t>G65%; M 85%</t>
  </si>
  <si>
    <t xml:space="preserve"> PS5.05_Ind01. </t>
  </si>
  <si>
    <t>Taxa d’eficàcia: percentatge de suggeriments i queixes respostes (15 dies hàbils)</t>
  </si>
  <si>
    <t xml:space="preserve"> PS5.05_Ind02. </t>
  </si>
  <si>
    <t xml:space="preserve"> PS5.05_Ind03. </t>
  </si>
  <si>
    <t>Valoració mitjana a la pregunta “He rebut resposta adequada a les meves queixes i suggeriments</t>
  </si>
  <si>
    <t xml:space="preserve"> PS5.06_Ind01. </t>
  </si>
  <si>
    <t>Valoració mitjana a la pregunta: "La informació referent a la titulació al web és accessible i m’ha resultat útil".</t>
  </si>
  <si>
    <t xml:space="preserve"> PS5.06. Informació Pública</t>
  </si>
  <si>
    <t>Aprovat per JP: 22/05/2024</t>
  </si>
  <si>
    <t>Realitzat per: Mar Jorba (Gestora de Qualitat)</t>
  </si>
  <si>
    <t>Fitxa de seguiment de l'indicador</t>
  </si>
  <si>
    <t>1. Codi del l'indicador</t>
  </si>
  <si>
    <t>2. Nom de l'indicador</t>
  </si>
  <si>
    <t>3. Objectiu</t>
  </si>
  <si>
    <t>4. Classificació</t>
  </si>
  <si>
    <t>Política i Objectius de Qualitat</t>
  </si>
  <si>
    <t>Anual</t>
  </si>
  <si>
    <t>8. Resultats</t>
  </si>
  <si>
    <t>2017/2018</t>
  </si>
  <si>
    <t>2018/2019</t>
  </si>
  <si>
    <t>2019/2020</t>
  </si>
  <si>
    <t>2020/2021</t>
  </si>
  <si>
    <t>2021/2022</t>
  </si>
  <si>
    <t>2022/2023</t>
  </si>
  <si>
    <t>Valor real</t>
  </si>
  <si>
    <t>Valor objectiu</t>
  </si>
  <si>
    <t>% Compliment</t>
  </si>
  <si>
    <t>9. Gràfic</t>
  </si>
  <si>
    <t>10. Observacions</t>
  </si>
  <si>
    <t>3.  Objectiu</t>
  </si>
  <si>
    <t>Estratègic</t>
  </si>
  <si>
    <t>_</t>
  </si>
  <si>
    <t xml:space="preserve">_ </t>
  </si>
  <si>
    <t>Compliment</t>
  </si>
  <si>
    <t xml:space="preserve"> Política i Objectius de Qualitat</t>
  </si>
  <si>
    <t>Graus</t>
  </si>
  <si>
    <t>Ciències Ambientals</t>
  </si>
  <si>
    <t>Ciències Ambientals + Geologia</t>
  </si>
  <si>
    <t>Estadística Aplicada</t>
  </si>
  <si>
    <t>Física</t>
  </si>
  <si>
    <t>Física + Matemàtiques</t>
  </si>
  <si>
    <t>Física + Química</t>
  </si>
  <si>
    <t>Geologia</t>
  </si>
  <si>
    <t>Matemàtica Computacional i Analítica de Dades</t>
  </si>
  <si>
    <t>Matemàtiques</t>
  </si>
  <si>
    <t>Nanociència i Nanotecnologia</t>
  </si>
  <si>
    <t>Química</t>
  </si>
  <si>
    <t>Valor objectiu ≥ 0.8</t>
  </si>
  <si>
    <t>&gt; o = 0,8</t>
  </si>
  <si>
    <t>Total titulacions</t>
  </si>
  <si>
    <t>2015/2016</t>
  </si>
  <si>
    <t>2016/2017</t>
  </si>
  <si>
    <t>(*)</t>
  </si>
  <si>
    <t>Ciències Ambientals i Geologia</t>
  </si>
  <si>
    <t xml:space="preserve">Física i Matemátiques
</t>
  </si>
  <si>
    <t>Física i  Química</t>
  </si>
  <si>
    <t>Totals &gt;50%</t>
  </si>
  <si>
    <t>Total</t>
  </si>
  <si>
    <t xml:space="preserve">Per l'entrada de la cohort 2019/2022, en data 13 de març de 2024 no hi ha les dades disponibles al Datadash. </t>
  </si>
  <si>
    <t>Estudis Interdisciplinaris en Sostenibilitat Ambiental, Econòmica i Social</t>
  </si>
  <si>
    <t>Física d'Altes Energies, Astrofísica i Cosmologiada</t>
  </si>
  <si>
    <t>Història de la Ciència. Ciència, Història i Societat</t>
  </si>
  <si>
    <t>Modelització per a la Ciència i l'Enginyeria</t>
  </si>
  <si>
    <t>Paleobiologia i Registre Fòssil</t>
  </si>
  <si>
    <t>Química Industrial i Introducció a la Recerca de la Química</t>
  </si>
  <si>
    <t>NÚM 85%</t>
  </si>
  <si>
    <t>TOTALS</t>
  </si>
  <si>
    <t>70,4 %%</t>
  </si>
  <si>
    <t>**</t>
  </si>
  <si>
    <t>Física d’Altes Energies, Astrofísica i Cosmologia</t>
  </si>
  <si>
    <t>Història de la Ciència: Ciència, Història i Societat</t>
  </si>
  <si>
    <t>Nanociència i Nanotecnologia Avançades</t>
  </si>
  <si>
    <t>Química Industrial i Introducció a la Recerca Química</t>
  </si>
  <si>
    <t>&gt;=70%</t>
  </si>
  <si>
    <t>2023/2024</t>
  </si>
  <si>
    <t>Total titulacions coordinades</t>
  </si>
  <si>
    <t>% titulacions presentades per ser verificades</t>
  </si>
  <si>
    <t>Objectiu màx 25%</t>
  </si>
  <si>
    <t>compliment</t>
  </si>
  <si>
    <t>Objectiu màx 25</t>
  </si>
  <si>
    <t xml:space="preserve">Estadística Aplicada   </t>
  </si>
  <si>
    <t xml:space="preserve">Nanociència i Nanotecnologia   </t>
  </si>
  <si>
    <t>__</t>
  </si>
  <si>
    <t>Estudis inter. en sostenibilitat ambiental, econòmica i social</t>
  </si>
  <si>
    <t>Física d'Altes Energies, Astrofísica i Cosmologia</t>
  </si>
  <si>
    <t>Història de la Ciència: ciència, història i societat</t>
  </si>
  <si>
    <t>Modelització per a la ciència i l'enginyeria</t>
  </si>
  <si>
    <t xml:space="preserve">Nanociència i Nanotecnologia avançades </t>
  </si>
  <si>
    <t>Química industrial i introducció a la recerca química</t>
  </si>
  <si>
    <t xml:space="preserve">Paleobiologia i Registre Fòssil </t>
  </si>
  <si>
    <t>CCAA+Geologia</t>
  </si>
  <si>
    <t>Física+Matemàtiques</t>
  </si>
  <si>
    <t>Física +Química</t>
  </si>
  <si>
    <t>97.34%</t>
  </si>
  <si>
    <t xml:space="preserve"> Total</t>
  </si>
  <si>
    <t>Valor</t>
  </si>
  <si>
    <t>Estudis interdisciplinaris en sostenibilitat ambiental, econòmica i social</t>
  </si>
  <si>
    <t>Història de la Ciència; Ciència, Història i Societat</t>
  </si>
  <si>
    <t>Modelització per a la Ciència i la Enginyeria</t>
  </si>
  <si>
    <t xml:space="preserve">- </t>
  </si>
  <si>
    <t>-</t>
  </si>
  <si>
    <t>Número any anterior</t>
  </si>
  <si>
    <t>Percentatge</t>
  </si>
  <si>
    <t>3. objectiu</t>
  </si>
  <si>
    <t>1 </t>
  </si>
  <si>
    <t> 1</t>
  </si>
  <si>
    <t xml:space="preserve">Química  </t>
  </si>
  <si>
    <t>Valor Objectiu</t>
  </si>
  <si>
    <t>Total titulacions &lt; o = 10</t>
  </si>
  <si>
    <t xml:space="preserve">Total titulacions  </t>
  </si>
  <si>
    <t>11. Gràfic</t>
  </si>
  <si>
    <t xml:space="preserve">Química   </t>
  </si>
  <si>
    <t>Física i Matemàtiques</t>
  </si>
  <si>
    <t>Física i Química</t>
  </si>
  <si>
    <t>Modelització per a la Ciència</t>
  </si>
  <si>
    <t>Nanociència i Nanotecnologia avançade</t>
  </si>
  <si>
    <t>Estudis interdisciplinars en Sostenibilitat Ambiental, Econòmica i Social</t>
  </si>
  <si>
    <t>13% </t>
  </si>
  <si>
    <t>97%*</t>
  </si>
  <si>
    <t>10% </t>
  </si>
  <si>
    <t>95%*</t>
  </si>
  <si>
    <t>24% </t>
  </si>
  <si>
    <t>0% </t>
  </si>
  <si>
    <t>26% </t>
  </si>
  <si>
    <t>Matemàtica Computacional</t>
  </si>
  <si>
    <t>9% </t>
  </si>
  <si>
    <t>11% </t>
  </si>
  <si>
    <t>12% </t>
  </si>
  <si>
    <t xml:space="preserve"> _ </t>
  </si>
  <si>
    <t>2% </t>
  </si>
  <si>
    <t>4% </t>
  </si>
  <si>
    <t>3% </t>
  </si>
  <si>
    <t>3.Objectiu</t>
  </si>
  <si>
    <t>Participació</t>
  </si>
  <si>
    <t>31,73 1er sem/20,85% 2n sem</t>
  </si>
  <si>
    <t xml:space="preserve">35,21% 1er sem/20,7% 2n sem </t>
  </si>
  <si>
    <t>Nombre de titulacions amb una valoració global superior o igual a 3 sobre 4. (Enquesta d’assignatures)</t>
  </si>
  <si>
    <t>no</t>
  </si>
  <si>
    <t>No</t>
  </si>
  <si>
    <t>si</t>
  </si>
  <si>
    <t>Si</t>
  </si>
  <si>
    <t>Total modificacions presentades AQU</t>
  </si>
  <si>
    <t>Total modificacions presentades AQU amb avaluació favorable</t>
  </si>
  <si>
    <t>Curs acadèmic</t>
  </si>
  <si>
    <t>2019/20</t>
  </si>
  <si>
    <t>Estudi</t>
  </si>
  <si>
    <t>Ràtio</t>
  </si>
  <si>
    <t>Total Titulacions</t>
  </si>
  <si>
    <t>Total titulacions &gt; o = 0,8</t>
  </si>
  <si>
    <t>Dona</t>
  </si>
  <si>
    <t>Home</t>
  </si>
  <si>
    <t>Màsters</t>
  </si>
  <si>
    <t>Modelització per a la Ciència i l’Enginyeria</t>
  </si>
  <si>
    <t xml:space="preserve">  </t>
  </si>
  <si>
    <t>Matemàtica Computacional I Analítica de Dades</t>
  </si>
  <si>
    <t xml:space="preserve"> Total titulacion &lt;=3</t>
  </si>
  <si>
    <t>Percentatge de participació</t>
  </si>
  <si>
    <t>ERASMUS +</t>
  </si>
  <si>
    <t>0521 - Ciències del medi ambient</t>
  </si>
  <si>
    <t>0532 - Ciències de la terra</t>
  </si>
  <si>
    <t xml:space="preserve"> 0540 - Matemàtiques i estadística, no definit
0541 - Matemàtiques
0549 - Matemàtiques i estadística,no classificat</t>
  </si>
  <si>
    <t>0542 - Estadística</t>
  </si>
  <si>
    <t>0533 - Física</t>
  </si>
  <si>
    <t>13.3 Química</t>
  </si>
  <si>
    <t>SICUE</t>
  </si>
  <si>
    <t>0000 - Física i Matemàtiques</t>
  </si>
  <si>
    <t>0000 - Física i Química</t>
  </si>
  <si>
    <t>303200000000 - Física</t>
  </si>
  <si>
    <t>303300000000 - Geología</t>
  </si>
  <si>
    <t>303400000000 - Matemáticas</t>
  </si>
  <si>
    <t>307400000000 - Química</t>
  </si>
  <si>
    <t>307700000000 - Ciencias Ambientales</t>
  </si>
  <si>
    <t>400400000000 - Estadística</t>
  </si>
  <si>
    <t>EXCHANGE PROGRAM</t>
  </si>
  <si>
    <t>000 - Centres diversos</t>
  </si>
  <si>
    <t>103 - Facultat de Ciències</t>
  </si>
  <si>
    <t>Total (ERASMUS+SICUE+EXCHANGE PROGRAM)</t>
  </si>
  <si>
    <t>Curs 2022/2023 S'ha modificat la codificació de les àrees d'estudi. Queden substituïts els antics codis, pels nous codis ISCED</t>
  </si>
  <si>
    <t>Andorra</t>
  </si>
  <si>
    <t>Argentina</t>
  </si>
  <si>
    <t>Cuba</t>
  </si>
  <si>
    <t>Portugal</t>
  </si>
  <si>
    <t>Romania</t>
  </si>
  <si>
    <t>Erasmus+</t>
  </si>
  <si>
    <t>Visitants Facultats</t>
  </si>
  <si>
    <t>UAB Exchange Programme</t>
  </si>
  <si>
    <t>Study Abroad</t>
  </si>
  <si>
    <t>objectiu</t>
  </si>
  <si>
    <t xml:space="preserve">Home </t>
  </si>
  <si>
    <t>%</t>
  </si>
  <si>
    <t xml:space="preserve"> Química Industrial i Introducció a la Recerca de la Química</t>
  </si>
  <si>
    <t xml:space="preserve"> S'ha fet la mitja entre els dos semestres</t>
  </si>
  <si>
    <t xml:space="preserve">Nombre de persones </t>
  </si>
  <si>
    <t>Valor de l'objectiu</t>
  </si>
  <si>
    <t>Núm.Activitats</t>
  </si>
  <si>
    <t xml:space="preserve"> _</t>
  </si>
  <si>
    <t>Aquest Equip de Deganat va començar el seu mandat en el curs 22/23, per tant, no tenim dades d'aquest indicador estratègic.</t>
  </si>
  <si>
    <t xml:space="preserve">Objectiu </t>
  </si>
  <si>
    <t xml:space="preserve">Valor objectiu </t>
  </si>
  <si>
    <t>Emeses</t>
  </si>
  <si>
    <t>Retornades</t>
  </si>
  <si>
    <t xml:space="preserve"> La taula que manca està retornada parcialment, és a dir, que està retornada la part que és competència de la Direcció d’Arquitectura i Logística, però no la que ha d’emplenar l’àmbit on s’ha fet l’avaluació del lloc de treball.
Hem de tenir present, que aquestes dades corresponen a la Facultat de Biociències i a la de Ciències, ja que comparteixen Edifici.</t>
  </si>
  <si>
    <t>VALOR</t>
  </si>
  <si>
    <t>Curs 2021/2022 De les 3 avaluacions no retornades, 2 no es van poder fer perquè les persones estaven de baixa per incapacitat transitòria i 1 va ser pel ciberatac, cosa que va fer que es fes en una única avaluació la corresponent als 3 i als 6 mesos.</t>
  </si>
  <si>
    <t>Cal tenir present que, com a conseqüència del ciberatac (11/10/21), aquest aplicatiu va deixar d'estar operatiu des de l'11/10/21 fins el 30/03/22, per tant aquest informe no és comparable amb el d'altres cursos.</t>
  </si>
  <si>
    <t>Dies</t>
  </si>
  <si>
    <t>Departament</t>
  </si>
  <si>
    <t>Categoria</t>
  </si>
  <si>
    <t>Dones</t>
  </si>
  <si>
    <t>Homes</t>
  </si>
  <si>
    <t>Departament de Física</t>
  </si>
  <si>
    <t>Associat</t>
  </si>
  <si>
    <t>Catedràtic contractat</t>
  </si>
  <si>
    <t>Catedràtic universitari</t>
  </si>
  <si>
    <t>Professors emèrits</t>
  </si>
  <si>
    <t>Professor agregat</t>
  </si>
  <si>
    <t>Professor lector</t>
  </si>
  <si>
    <t>Visitant</t>
  </si>
  <si>
    <t>Associat permanent estranger</t>
  </si>
  <si>
    <t>Titular universitari</t>
  </si>
  <si>
    <t>Departament de Geologia</t>
  </si>
  <si>
    <t>Catedràtic escola universitària</t>
  </si>
  <si>
    <t>Departament de Matemàtiques</t>
  </si>
  <si>
    <t>Departament de Química</t>
  </si>
  <si>
    <t>Total Dones</t>
  </si>
  <si>
    <t>Total 30%</t>
  </si>
  <si>
    <t>Compliment%</t>
  </si>
  <si>
    <t xml:space="preserve"> (*) no hi ha dades disponibles al Datadash en data 18/03/2024.</t>
  </si>
  <si>
    <t>--</t>
  </si>
  <si>
    <t xml:space="preserve"> S'ha fet la mitja entre els dos semestres, a excepció del curs 19/20, que només es va realitzar l'enquesta al primer semestre a causa de la pandèmia Covid 19.                        (*) En data 18/03/2024 no hi ha les dades publicades  de l’enquesta de titulats que realitza d’AQU.</t>
  </si>
  <si>
    <t>Número d'accions polítiques que s'han fet amb les coordinacions</t>
  </si>
  <si>
    <t>Aquest indicador és un indicador del Pla Estratègic, aquest Equip de Deganat va entrar al setembre del 2022, en el curs 2022/2023, per tant, no tenim dades del curs 2021/2022.                                         (*) Dada des de setembre del 2022 fins el 22/05/2023.</t>
  </si>
  <si>
    <t xml:space="preserve">Número de reunions fetes entre el Deganat i totes les direccions de Departament de la Facultat   </t>
  </si>
  <si>
    <t>1 BIMENSUAL</t>
  </si>
  <si>
    <t>Despesa</t>
  </si>
  <si>
    <t> 38.960,08 €</t>
  </si>
  <si>
    <t>Pressupost</t>
  </si>
  <si>
    <t>valor objectiu</t>
  </si>
  <si>
    <t>Despesa Executada</t>
  </si>
  <si>
    <t xml:space="preserve"> (*) En data 2/04/2024 no estan publicats els resultats de l’enquesta de tittulats.                                                </t>
  </si>
  <si>
    <t>(*) En data 2/04/2024 no estan publicats els resultats de les enquestes d etitulats i titulades que fa AQU.</t>
  </si>
  <si>
    <t xml:space="preserve">(*) En data 2/04/2024 no estan publicats els resultats de les enquestes de titulats i titulades que realitza AQU.
 </t>
  </si>
  <si>
    <t>9. Processos als que afecta</t>
  </si>
  <si>
    <t>Grau</t>
  </si>
  <si>
    <t>Estudis Intersdisciplinars en Sost. Ambiental, Econ. i Social</t>
  </si>
  <si>
    <t>Total &gt;10</t>
  </si>
  <si>
    <t xml:space="preserve">Total </t>
  </si>
  <si>
    <r>
      <t xml:space="preserve"> </t>
    </r>
    <r>
      <rPr>
        <sz val="11"/>
        <rFont val="Roboto"/>
      </rPr>
      <t>Cal destacar que, en el cas dels dobles graus, s'identifica l'alumnat amb la titulació simple ja que comparteixen la mateixa assignatura.</t>
    </r>
  </si>
  <si>
    <t xml:space="preserve"> (*) En data 3/04/2024 no tenim els resultats de l’enquesta de titulats i tiludaes que realitza AQU.</t>
  </si>
  <si>
    <t>Evolució del nombre d'empreses</t>
  </si>
  <si>
    <t>increment</t>
  </si>
  <si>
    <t xml:space="preserve">  Política i Objectius de Qualitat</t>
  </si>
  <si>
    <t>NA</t>
  </si>
  <si>
    <t xml:space="preserve">__ </t>
  </si>
  <si>
    <t xml:space="preserve"> S'ha fet la mitja entre els dos semestres a excepció del curs 19/20 que només esv realitzar l'enquesta al primer semestre.</t>
  </si>
  <si>
    <t xml:space="preserve"> S'ha fet la mitja entre els dos semestres a excepció del curs 19/20 que només es va fer l'enquesta al primer semestre. Curs 19/20 només es va fer l'enquesta al primer semestre. A conseqüència de la pandèmia Covid19.</t>
  </si>
  <si>
    <t xml:space="preserve"> (*) En data 2/04/2024 no tenim els resultats de l’enquesta de titulats i titulades que realitza AQU.</t>
  </si>
  <si>
    <t>Matemàtica Computacional i Analítica de dades</t>
  </si>
  <si>
    <t xml:space="preserve"> GRAUS</t>
  </si>
  <si>
    <t xml:space="preserve"> MÀSTERS</t>
  </si>
  <si>
    <t>% Compliment (M)</t>
  </si>
  <si>
    <t xml:space="preserve"> (*) En data 2/04/2024 no estan publicades els resultats de els enquestes de titulats i titulades que realitza AQU.</t>
  </si>
  <si>
    <t>% Compliment (G)</t>
  </si>
  <si>
    <t>Temps mitjà</t>
  </si>
  <si>
    <t xml:space="preserve"> (*) En data 2/04/2024 no tenim les dades de l’enquesta de titulats i titulades que realitza AQU.</t>
  </si>
  <si>
    <t xml:space="preserve"> 
(*) En data 2/04/2024 no tenim dades de l’enquesta de titulats i titulades que realitza AQU.</t>
  </si>
  <si>
    <t>Gestor Acadèmic</t>
  </si>
  <si>
    <t>Gestora de Programació Docent</t>
  </si>
  <si>
    <t xml:space="preserve"> Nombre mínim d’entitats col·laboradores en el marc de PE, per curs acadèmic i titulació</t>
  </si>
  <si>
    <t>Percentatge de propostes de modificació presentades a AQU que han obtingut l'avaluació favorable desglossades per curs acadèmic, per Grau i Màster.</t>
  </si>
  <si>
    <t>15 dies hàbils</t>
  </si>
  <si>
    <r>
      <rPr>
        <sz val="7"/>
        <rFont val="Times New Roman"/>
        <family val="1"/>
      </rPr>
      <t xml:space="preserve"> </t>
    </r>
    <r>
      <rPr>
        <sz val="10"/>
        <rFont val="Century Gothic"/>
        <family val="2"/>
      </rPr>
      <t>Número d'accions polítiques que s'han fet amb les coordinacions (Pla Estratègic 2022/2023 fins 2024/2025)</t>
    </r>
  </si>
  <si>
    <t>Objectiu de Qualitat. Grups d'interès</t>
  </si>
  <si>
    <t>Objectiu de Qualitat. Organització i gestió de recursos</t>
  </si>
  <si>
    <t xml:space="preserve"> Objectiu de Qualitat. Qualitat dels programes formatius</t>
  </si>
  <si>
    <t>Objectiu de Qualitat. Qualitat dels programes formatius</t>
  </si>
  <si>
    <t>Objectiu de Qualitat. Cultura de Qualitat</t>
  </si>
  <si>
    <t>Objectiu de Qualitat. Millora Contínua</t>
  </si>
  <si>
    <t>No es tenen dades d'aquest indicador dels cursos anteriors al 2022/2023, ja que es tracta d'un indicador del Pla estratègic de l'actual Equip de Deganat (curs 2022/2023 fins 2024/2025).</t>
  </si>
  <si>
    <t>11. Processos als que afecta</t>
  </si>
  <si>
    <t>6. Descripció de l'indicador</t>
  </si>
  <si>
    <t>7. Càlcul de l'indicador</t>
  </si>
  <si>
    <t>8. Freqüència de la medició</t>
  </si>
  <si>
    <t>9. Propietari</t>
  </si>
  <si>
    <t xml:space="preserve">10. Responsable </t>
  </si>
  <si>
    <t>12. Font obtenció de dades</t>
  </si>
  <si>
    <t>13. Resultats</t>
  </si>
  <si>
    <t>14. Gràfic</t>
  </si>
  <si>
    <t>15. Observacions</t>
  </si>
  <si>
    <t>5. Objectiu de Qualitat/Pla Estratègic</t>
  </si>
  <si>
    <t>10. Responsable</t>
  </si>
  <si>
    <t xml:space="preserve">9. Propietari </t>
  </si>
  <si>
    <t>6 Descripció de l'indicador</t>
  </si>
  <si>
    <t>7.Càlcul de l'indicador</t>
  </si>
  <si>
    <r>
      <rPr>
        <sz val="11"/>
        <rFont val="Roboto"/>
      </rPr>
      <t>No es tenen dades d'aquest indicador dels cursos anteriors al 2022/2023, ja que es tracta d'un indicador del Pla estratègic de l'actual Equip de Deganat (curs 2022/2023 fins 2024/2025).</t>
    </r>
    <r>
      <rPr>
        <sz val="11"/>
        <color rgb="FFFF0000"/>
        <rFont val="Roboto"/>
      </rPr>
      <t xml:space="preserve"> </t>
    </r>
  </si>
  <si>
    <t>2024/2025</t>
  </si>
  <si>
    <t>Curs 2021/2022 s'han restat el número d'assignatures de paleobiologia del curs 20/21, ja que en el curs 21/22 no es van publicar, per tant, no les hem tingut en compte a l'hora de calcular el % curs 21/22.
A partir del curs 2023/2024 es modifica l'objetiu de l'indicador i passa a ser "mantenir l'oferta d'asssignatures amb anglès als màsters universitaris", mentre que abans era "augmentar en un 5% l'oferta d'assignatures en anglès respecte el curs acadèmic anterior"</t>
  </si>
  <si>
    <t>Aquesta pregunta només està a l'enquesta de titulats dels graus no dels màsters.
A partir del  curs 2022/2023 les enquestes dels titulats les realitza AQU, cosa que implica que els resultats mostrats siguin de dos cursos acadèmics enrere</t>
  </si>
  <si>
    <t>5. Objectius de Qualitat/Pla Estratègic</t>
  </si>
  <si>
    <t>5. Ojectiu de Qualitat/Pla Estratègic</t>
  </si>
  <si>
    <t>Dades extretes de la font DATADASH de la Universitat Autònoma de Barcelona amb data 15/11/2024 (aquestes dades són facilitades per part de l'Oficina de Preinscripció Universitària)</t>
  </si>
  <si>
    <r>
      <t xml:space="preserve">Sol·licituds 1ª opció
</t>
    </r>
    <r>
      <rPr>
        <sz val="10"/>
        <color theme="1"/>
        <rFont val="Aptos Narrow"/>
        <family val="2"/>
      </rPr>
      <t>——----------------------------------- 
Places ofertades</t>
    </r>
  </si>
  <si>
    <t>Dades extretes de la font DATADASH de la Universitat Autònoma de Barcelona amb data 15/11/2024</t>
  </si>
  <si>
    <t>Història de la Ciència: Ciència, història i societat</t>
  </si>
  <si>
    <t>Dades extretes de la font "Informe valoració guies docents 2023" amb data 20/11/2024: 
https://www.uab.cat/doc/InformeValoracioGuiesDocents2023</t>
  </si>
  <si>
    <t>Dades extretes de la font DATADASH de la Universitat Autònoma de Barcelona amb data 21/11/2024</t>
  </si>
  <si>
    <t>No s'han tingut en compte els sense assignar (conten al sumatori de totals, però al no tenir-ho informat s'ha dit que directament és com si no el tinguessin). Està bé així o treure dels totals per a que puji ni que sigui per poc? (preguntar Mar)
Aquelles titulacions que tenen dos plans d'estudi vigents s'ha fet una mitjana entre ambdues</t>
  </si>
  <si>
    <t>Dades extretes de la font https://www.uab.cat/web/estudiar/qualitat-docent/avaluacio-de-les-assignatures/moduls-de-grau-i-master-universitari-1345665543141.html, amb data 21/11/2024</t>
  </si>
  <si>
    <t>Els resultats de les enquestes mostrats són fruit d'una mitjana entre els dos semestre
Malgrat que els resultats del curs 19/20 no hem quadren, no s'han tocat, degut a que va ser un any especial i van canviar també les maneres de fer les enquestes
Dubte a plantejar a MAR: podriem ficar gràfic genèric a nivell de centre, d'evolució any a any, com a altres indicadors hem fet, però no ficar com a valor objectiu a assolir el marcat per a les titulacions de 3, sinó com a Biociències, que es igual o superior al genèric de la UAB</t>
  </si>
  <si>
    <t>En els casos on hi ha cap dada és perquè la mostra és molt baixa i es considera que no és rellevant. Curs 2022/2023: Per alguns màsters només hi ha dades d'un semestre, per tant, no s'ha fet la mitjana dels dos semestres (Estudis Interdisciplinaris, Física d'Altes Energies i Química Industrial).
Mateix dubte que indicador anterior en relació al gràfic genèric de centre en comparació a si l'objectiu a assolir pot ser el valor aconseguit pel la UAB a nivell genèric</t>
  </si>
  <si>
    <t>Història de la Ciència:Ciència, Història i Societat</t>
  </si>
  <si>
    <t>Número assignatures
amb anglès</t>
  </si>
  <si>
    <t>5.Objectiu de Qualitat/Pla Estratègic</t>
  </si>
  <si>
    <t>3. Ojectiu</t>
  </si>
  <si>
    <t>Dades extretes de la font https://www.uab.cat/web/estudis/qualitat-docent/persones-graduades-1345665543247.html, amb data 21/11/2024</t>
  </si>
  <si>
    <t>5.  Objectiu de Qualitat/Pla Estratègic</t>
  </si>
  <si>
    <t>Dades extretes de la font https://www.uab.cat/web/estudiar/qualitat-docent/grau-de-satisfaccio-dels-titulats-1345665543247.html, amb data 27/11/2024</t>
  </si>
  <si>
    <t>A les enquestes de titulats els resultats són obtingut l'any després, per això estem tractant amb els resultats del curs 2022/2023</t>
  </si>
  <si>
    <t>Matemàtica Computacional i Anàlisi de Dades</t>
  </si>
  <si>
    <t>Dades extretes de la font https://www.uab.cat/web/estudiar/qualitat-docent/avaluacio-de-les-assignatures/moduls-de-grau-i-master-universitari-1345665543141.html, amb data 27/11/2024</t>
  </si>
  <si>
    <t>28,99% 1er semestre/22,70% 2n semestre</t>
  </si>
  <si>
    <t>Dades extretes de la font DATADASH amb data 27/11/2024</t>
  </si>
  <si>
    <t>7. Càlcul de l'indocador</t>
  </si>
  <si>
    <t>8. Freqüència de la medicició</t>
  </si>
  <si>
    <t xml:space="preserve"> S'ha agafat només el temps complert.
Dades actualitzades novembre 2023.
A partir del curs 23/24 fiquem totes les dedicacions, i no només el TC</t>
  </si>
  <si>
    <t>Dades extretes de la font https://www.uab.cat/web/estudiar/qualitat-docent/avaluacio-de-les-assignatures/moduls-de-grau-i-master-universitari-1345665543141.html, amb data 05/12/2024</t>
  </si>
  <si>
    <t>Valor Objectiu: 40-60%</t>
  </si>
  <si>
    <t>Total titulacions 40-60%</t>
  </si>
  <si>
    <t>Dades extretes de la font DATADASH amb data 05/12/2024</t>
  </si>
  <si>
    <t>Titulacions =&gt;20%</t>
  </si>
  <si>
    <t>Número total de titulacions</t>
  </si>
  <si>
    <t>6. Descricpió de l'indicador</t>
  </si>
  <si>
    <t>Dades extretes de la font DATADASH amb data 11/12/2024</t>
  </si>
  <si>
    <t>6.Descripció de l'indicador</t>
  </si>
  <si>
    <t xml:space="preserve">Nanociència i Nanotecnologia Avançades </t>
  </si>
  <si>
    <t>Les dades 20/21 dels graus no estan ben comptabilitzades, com a conseqüència de l'atac informàtic de l'octubre 2021.
Les dades del 22/23 per a Ciències Ambientals i la doble de CCAA+Geologia no són representatives i per això no es poden posar, doncs surt un abandonament al 100%, però això es degut a que els alumnes es van volen canviar a la reverificada que començava l'any després
Ha tenir en compte que fa referència a les persones a,n cohort d'entrada. Per exemple, les dades del curs 23/24 fan referència a aquells que es van matricular a primer curs aquell any però el curs següent 24/25 ja no s'han matriculat</t>
  </si>
  <si>
    <t>Dades extretes de la font DATADASH de la Universitat Autònoma de Barcelona amb data 11/12/2024</t>
  </si>
  <si>
    <t>Dades extretes de la font https://www.uab.cat/web/estudiar/qualitat-docent/grau-de-satisfaccio-dels-titulats-1345665543247.html, amb data 11/12/2024</t>
  </si>
  <si>
    <t>En els casos on no hi ha dades és perquè no hi ha suficient mostra, a excepció del Grau en Matemàtica Computacional i Analítica de Dades que es va implantar en el curs 18/19 i fins el curs 21/22 no hi ha titulats. Aquesta enquesta és la titulats. En el curs 21/22 l'enquesta l'ha portada a terme AQU. (*)En el curs 2022,2023:  En data 2/04/2024 no s’han publicat les dades de l’enquesta de titulats d’AQU.
Enquesta de titulats</t>
  </si>
  <si>
    <t>Alemanya</t>
  </si>
  <si>
    <t>Bèlgica</t>
  </si>
  <si>
    <t>Bolívia</t>
  </si>
  <si>
    <t>Bulgària</t>
  </si>
  <si>
    <t>Colòmbia</t>
  </si>
  <si>
    <t>Dominicana, República</t>
  </si>
  <si>
    <t>Equador</t>
  </si>
  <si>
    <t>França</t>
  </si>
  <si>
    <t>Georgia</t>
  </si>
  <si>
    <t>Índia</t>
  </si>
  <si>
    <t>Irlanda</t>
  </si>
  <si>
    <t>Itàlia</t>
  </si>
  <si>
    <t>Japó</t>
  </si>
  <si>
    <t>Marroc</t>
  </si>
  <si>
    <t>Mèxic</t>
  </si>
  <si>
    <t>Moldavia</t>
  </si>
  <si>
    <t>Països Baixos</t>
  </si>
  <si>
    <t>Paraguai</t>
  </si>
  <si>
    <t>Perú</t>
  </si>
  <si>
    <t>Polònia</t>
  </si>
  <si>
    <t>Regne Unit</t>
  </si>
  <si>
    <t>Rússia</t>
  </si>
  <si>
    <t>Sèrbia</t>
  </si>
  <si>
    <t>Singapur</t>
  </si>
  <si>
    <t>Suïssa</t>
  </si>
  <si>
    <t>Ucraïna</t>
  </si>
  <si>
    <t>Uruguai</t>
  </si>
  <si>
    <t>Veneçuela</t>
  </si>
  <si>
    <t>Xina</t>
  </si>
  <si>
    <t>Nacionalitat</t>
  </si>
  <si>
    <t>Total alumnes no nacionalitat Espanyola</t>
  </si>
  <si>
    <t>Total alumnes matriculats</t>
  </si>
  <si>
    <t>Programa Mobilitat</t>
  </si>
  <si>
    <t>Total alumnat matriculat</t>
  </si>
  <si>
    <t>Dades extretes de la font https://www.uab.cat/web/estudiar/qualitat-docent/avaluacio-de-les-assignatures/moduls-de-grau-i-master-universitari-1345665543141.html, amb data 11/12/2024</t>
  </si>
  <si>
    <t>Dades extretes de la font https://www.uab.cat/web/estudiar/qualitat-docent/avaluacio-de-les-assignatures/moduls-de-grau-i-master-universitari-1345665543141.html, amb data 12/12/2024</t>
  </si>
  <si>
    <t>Dades obtingudes de la font Datadash, amb data 12/12/2024</t>
  </si>
  <si>
    <t>No existeix un indicador directe de matriculats a primer curs vs places ofertades. Per això s'han de creuar dos indicadors: places ofertades i nou ingrés sol·licituds (per màsters)/estudiants nou ingrés per dedicació (graus)</t>
  </si>
  <si>
    <t>Dades extretes de la font https://www.uab.cat/web/estudis/qualitat-docent/persones-graduades-1345665543247.html, amb data 12/12/2024</t>
  </si>
  <si>
    <t>%Dones</t>
  </si>
  <si>
    <t>Substituts</t>
  </si>
  <si>
    <t>0;00%</t>
  </si>
  <si>
    <t>0+A36:K54</t>
  </si>
  <si>
    <t>Dades obtingudes de la font DATADASH amb data 12/12/2024</t>
  </si>
  <si>
    <t xml:space="preserve">Anual </t>
  </si>
  <si>
    <t>Total alumnat</t>
  </si>
  <si>
    <t>GRAU</t>
  </si>
  <si>
    <t>Valoració mitjana a l’afirmació “El treball de fi d’estudis m’ha estat útil per consolidar les competències de la titulació”
(Graus)</t>
  </si>
  <si>
    <t>Valoració mitjana a l’afirmació “Estic satisfet amb el TFM”
(Màsters)</t>
  </si>
  <si>
    <t>Dades extretes de les enquestes del sistema universitari català: https://estudis.aqu.cat/euc/ca/Titulacions/Enquestes,
https://estudis.aqu.cat/euc/ca/Titulacions/TitulacionsCatalunya/GrausCatalunya,
amb data 18/12/2024</t>
  </si>
  <si>
    <t>Dades extretes de la font https://www.uab.cat/web/estudiar/qualitat-docent/grau-de-satisfaccio-dels-titulats-1345665543247.html, amb data 18/12/2024</t>
  </si>
  <si>
    <t>Paleobologia i Registre Fòssil</t>
  </si>
  <si>
    <t xml:space="preserve">Modelització per a la Ciència i l'Enginyeria </t>
  </si>
  <si>
    <t>Dades obtingudes de la font DATADASH amb data 19/12/2024</t>
  </si>
  <si>
    <t>7. Càlcul de l'indicdor</t>
  </si>
  <si>
    <t>Font obtenció de dades https://www.uab.cat/web/estudiar/qualitat-docent/grau-de-satisfaccio-dels-titulats-1345665543247.html, amb data 19/12/2024</t>
  </si>
  <si>
    <t xml:space="preserve">8. Freqüència de la medició </t>
  </si>
  <si>
    <r>
      <t>M</t>
    </r>
    <r>
      <rPr>
        <sz val="10"/>
        <color rgb="FF000000"/>
        <rFont val="Times New Roman"/>
        <family val="1"/>
      </rPr>
      <t>atemàtica Computacional i Analítica de Dades</t>
    </r>
  </si>
  <si>
    <t>Número de titulacions presentades a AQU per a la seva verificació</t>
  </si>
  <si>
    <t>8. Freqüència de la mediciço</t>
  </si>
  <si>
    <t>8. Freqüènca de la medició</t>
  </si>
  <si>
    <t>Dades extretes de la font Datadash amb data 15/01/2024</t>
  </si>
  <si>
    <t>SI</t>
  </si>
  <si>
    <t>NO</t>
  </si>
  <si>
    <t xml:space="preserve">(*) En data 22/01/2025 no tenim les dades d'aquesta enquesta, pel curs 2023/2024.
Les dadeS són de les enquestes titulats i per tant són les dades d'un curs més </t>
  </si>
  <si>
    <t>39.78%</t>
  </si>
  <si>
    <r>
      <t>11</t>
    </r>
    <r>
      <rPr>
        <sz val="8"/>
        <color rgb="FF000000"/>
        <rFont val="Times New Roman"/>
        <family val="1"/>
      </rPr>
      <t>  </t>
    </r>
  </si>
  <si>
    <t>Quadre de Comandament de la Facultat</t>
  </si>
  <si>
    <t xml:space="preserve">Percentatge d'homes i dones matriculats </t>
  </si>
  <si>
    <t>Taxa de graduació, a temps complert, per curs acadèmic i titulació (per cohort, N+1, Graus VSMA)</t>
  </si>
  <si>
    <t>Mantenir l’oferta d’assignatures en anglès</t>
  </si>
  <si>
    <t>Paràmetre</t>
  </si>
  <si>
    <t>Percentatge de titulacions amb una valoració global superior o igual a 3 sobre 4 (Enquesta d’assignatures)</t>
  </si>
  <si>
    <t>PS4.02_Ind05.</t>
  </si>
  <si>
    <t>PS4.02_Ind06.</t>
  </si>
  <si>
    <t>Mantenir el nombre d’hores</t>
  </si>
  <si>
    <t xml:space="preserve">Mantenir el nombre d’hores de formació realitzades </t>
  </si>
  <si>
    <t>Percentatge de PDI dones desglossat per categoria</t>
  </si>
  <si>
    <t>Percentatge d’assoliment dels objectius associats als indicadors del quadre de comandament.</t>
  </si>
  <si>
    <t>Taxa de graduació a temps complert, per curs acadèmic, i titulació (per cohort, N+1, Màsters, VSMA)</t>
  </si>
  <si>
    <t>&lt;3%</t>
  </si>
  <si>
    <t>&lt;6%</t>
  </si>
  <si>
    <t>Puntuació mitjana a l’afirmació “El sistema d’avaluació s’explica clarament a la Guia Docent de l’assignatura” de l’enquesta de satisfacció d’assignatura dels graus i dels màsters</t>
  </si>
  <si>
    <t>Nombre d'activitats realitzades pel Consell d'Estudiants (Pla Estratègic 2022/2023 a 2024/2025)</t>
  </si>
  <si>
    <t>Taxa de matrícula respecte a les places ofertes per curs acadèmic i titulació (1er curs)</t>
  </si>
  <si>
    <t>Valoració mitjana a la pregunta “Els serveis de suport a l’estudiant (informació, matriculació, tràmits acadèmics, beques, orientació, etc.) m’han ofert un bon assessorament i atenció”</t>
  </si>
  <si>
    <t xml:space="preserve"> Percentatge d’informes d’avaluació retornats respecte del total rebuts</t>
  </si>
  <si>
    <t>Percentatge de queixes i suggeriments respostos dins de termini (15 dies hàbils)</t>
  </si>
  <si>
    <t>Percentatge d’informes de Vigilància de la Salut retornats respecte dels rebuts</t>
  </si>
  <si>
    <t>Percentatge d’hores de docència impartides per PDI permanent(Graus)</t>
  </si>
  <si>
    <t>canviat el nom dir-ho al ramon</t>
  </si>
  <si>
    <t xml:space="preserve"> Percentatge del pressupost de funcionament destinat a l'adquisició, renovació d’equipament dels laboratoris i altres necessitats docents. </t>
  </si>
  <si>
    <t>aquest indicador no e scorrecte</t>
  </si>
  <si>
    <t xml:space="preserve"> Taxa d’ocupació de les persones titulades, per titulació. (Indicador PE1.03_Ind05) </t>
  </si>
  <si>
    <r>
      <t>Evolució del nombre d'empreses (Indicador Pla Estratègic  2022/2023 fins 2024/2025).</t>
    </r>
    <r>
      <rPr>
        <sz val="8"/>
        <rFont val="Times New Roman"/>
        <family val="1"/>
      </rPr>
      <t> </t>
    </r>
  </si>
  <si>
    <t>desglossar aquest indicador</t>
  </si>
  <si>
    <t xml:space="preserve"> Temps mitjà de resposta igual o inferior a 7,5 dies hàbils de les queixes i els suggeriments (termini màxim: 15 dies hàbils)(PS5.05_Ind02)</t>
  </si>
  <si>
    <t>Temps mitjà de resposta igual o inferior a 7,5 dies hàbils de les queixes i els suggeriments (termini màxim: 15 dies hàbils (PS4.02_Ind04)</t>
  </si>
  <si>
    <t xml:space="preserve"> 
</t>
  </si>
  <si>
    <r>
      <t>Dona</t>
    </r>
    <r>
      <rPr>
        <sz val="8"/>
        <color rgb="FF000000"/>
        <rFont val="Times New Roman"/>
        <family val="1"/>
      </rPr>
      <t> </t>
    </r>
  </si>
  <si>
    <t>Total alumnes nacionalitat</t>
  </si>
  <si>
    <t>Espanyola</t>
  </si>
  <si>
    <r>
      <t>·</t>
    </r>
    <r>
      <rPr>
        <sz val="7"/>
        <color rgb="FF000000"/>
        <rFont val="Times New Roman"/>
        <family val="1"/>
      </rPr>
      <t xml:space="preserve">         </t>
    </r>
    <r>
      <rPr>
        <b/>
        <sz val="10"/>
        <color rgb="FF000000"/>
        <rFont val="Century Gothic"/>
        <family val="2"/>
      </rPr>
      <t>PC3.03_Ind03. Percentatge d’alumnat estranger (Graus)</t>
    </r>
  </si>
  <si>
    <t>2020/201</t>
  </si>
  <si>
    <t>La Comissió de Qualitat va acordar utilitzar les dades de l’any anterior per a aquest indicador, atès que els resultats de l’any en curs no estaven disponibles dins del termini.</t>
  </si>
  <si>
    <t>Sense dades</t>
  </si>
  <si>
    <t>Hores</t>
  </si>
  <si>
    <r>
      <t xml:space="preserve">Número de reunions fetes entre el Deganat i totes les direccions de Departament de la Facultat per ajudar al seguiment del Pla estratègic del nou equip de Deganat </t>
    </r>
    <r>
      <rPr>
        <strike/>
        <sz val="10"/>
        <rFont val="Century Gothic"/>
        <family val="2"/>
      </rPr>
      <t xml:space="preserve"> </t>
    </r>
    <r>
      <rPr>
        <sz val="10"/>
        <rFont val="Century Gothic"/>
        <family val="2"/>
      </rPr>
      <t>(Pla Estratègic 2022/2023 a 2024/2025)</t>
    </r>
  </si>
  <si>
    <t>Revisat i Actualitzat 15/05/2025</t>
  </si>
  <si>
    <t xml:space="preserve"> 5. Objectiu de Qualitat/Pla Estratègic</t>
  </si>
  <si>
    <t>6. Descripció</t>
  </si>
  <si>
    <t>5.Objectius de Qualitat/Pla Estratègic</t>
  </si>
  <si>
    <t>complement</t>
  </si>
  <si>
    <t>6. Descripció de l'Indicador</t>
  </si>
  <si>
    <t>6. Descripció de L'indicador</t>
  </si>
  <si>
    <t>5. Objectiu de Qualitat/ Pla Estratègic</t>
  </si>
  <si>
    <t>10. Responsable de la gestió</t>
  </si>
  <si>
    <t>Dades extretes de la font DATADASH 
de la Universitat Autònoma de Barcelona 
amb data 15/11/2024 (aquestes dades són facilitades per part de l'Oficina de Preinscripció Universitària)</t>
  </si>
  <si>
    <t>8. Frequència de la medició</t>
  </si>
  <si>
    <t>Dades extretes de la font DATADASH de la Universitat Autònoma de Barcelona 
amb data 15/11/2024 (aquestes dades són facilitades 
per part de l'Oficina de Preinscripció Universitària)</t>
  </si>
  <si>
    <t xml:space="preserve">Dades extretes de la font DATADASH de la Universitat Autònoma de Barcelona 
amb data 15/11/2024 (aquestes dades són facilitades 
per part de l'Oficina de Preinscripció Universitària)		</t>
  </si>
  <si>
    <t>8. Freqüència de la mediació</t>
  </si>
  <si>
    <t xml:space="preserve">12. Font obtenció de dades	</t>
  </si>
  <si>
    <t xml:space="preserve">Dades extretes de la font DATADASH de la Universitat Autònoma de Barcelona 
amb data 15/11/2024 (aquestes dades són facilitades 
per part de l'Oficina de Preinscripció Universitària)	</t>
  </si>
  <si>
    <t>12. Resultats</t>
  </si>
  <si>
    <t>13. Gràfic</t>
  </si>
  <si>
    <t>11. Procesos als que afecta</t>
  </si>
  <si>
    <t>5. Objectiu de qualitat/Pla Estratègic</t>
  </si>
  <si>
    <t>14. Observacions</t>
  </si>
  <si>
    <t>9.Propietari</t>
  </si>
  <si>
    <t>8.Responsable de la gestió</t>
  </si>
  <si>
    <t>S'indica el nombre d'estudiants de la cohort corresponent que han deixat els estudis de forma definitiva.</t>
  </si>
  <si>
    <t>Indica el grau d'èxit dels estudiants en acabar els estudis havent consumit únicament els crèdits previstos al PE.</t>
  </si>
  <si>
    <t>Resultat de dividir els crèdits previstos en el PE entre els crèdits matriculats per l'estudiant, multiplicar el resultat per cent (de manera que s'obtingui en forma de percentatge) i fer la mitjana per a la titulació considerant tots els estudiants titulats en el curs acadèmic considerat.</t>
  </si>
  <si>
    <t xml:space="preserve">Es calculen per fase selectiva, primer cicle, segon cicle i el conjunt de la titulació
desglossats en primera i segona convocatòries.
La fórmula de càlcul que correspon a la mitjana ponderada de la taxa de rendiment és
la següent:
On R és la taxa de rendiment per a una convocatòria i assignatura determinada, csn són
els crèdits superats per estudiant, an el nombre d’estudiants aprovats, cn el nombre de
crèdits de l’assignatura i amn els estudiants matriculats en aquella assignatura.
</t>
  </si>
  <si>
    <t>Respecte als estudiants de pla nou i suposant un flux d’entrada uniforme al llarg dels anys de
vigència dels plans d’estudi, la taxa de graduació de la promoció seria la resultant de dividir
el nombre de graduats en l’any de referència entre el nombre d’estudiants que es van matricular
tants anys endarrere com cursos teòrics de durada té aquest pla d’estudis. A l’efecte de
càlcul d’aquest indicador es consideren graduats un curs acadèmic determinat els estudiants
que acaben en temps t i els que acaben un any després (t+1). La fórmula de càlcul que
correspon a la taxa de graduació és:
On G és la taxa de graduació, At són els estudiants graduats en el temps previst, At+1 són
els estudiants graduats en el temps previst més un any i A0 són els estudiants que es van
matricular a la titulació inicialment.</t>
  </si>
  <si>
    <t>Nombre de crèdits aprovats en una assignatura o conjunt d’assignatures respecte dels
crèdits corresponents als estudiants matriculats.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</si>
</sst>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0.00\ &quot;€&quot;;[Red]\-#,##0.00\ &quot;€&quot;"/>
    <numFmt numFmtId="164" formatCode="&quot;€&quot;#,##0_);[Red]\(&quot;€&quot;#,##0\)"/>
    <numFmt numFmtId="165" formatCode="&quot;€&quot;#,##0.00_);[Red]\(&quot;€&quot;#,##0.00\)"/>
    <numFmt numFmtId="166" formatCode="_(* #,##0.00_);_(* \(#,##0.00\);_(* &quot;-&quot;??_);_(@_)"/>
    <numFmt numFmtId="167" formatCode="0.0%"/>
    <numFmt numFmtId="168" formatCode="#,##0.00\ &quot;€&quot;"/>
  </numFmts>
  <fonts count="110" x14ac:knownFonts="1">
    <font>
      <sz val="10"/>
      <color rgb="FF000000"/>
      <name val="Arial"/>
      <scheme val="minor"/>
    </font>
    <font>
      <sz val="11"/>
      <color theme="1"/>
      <name val="Arial"/>
      <family val="2"/>
      <scheme val="minor"/>
    </font>
    <font>
      <b/>
      <sz val="9"/>
      <color rgb="FF000000"/>
      <name val="Arial"/>
      <family val="2"/>
    </font>
    <font>
      <sz val="9"/>
      <color theme="1"/>
      <name val="Arial"/>
      <family val="2"/>
    </font>
    <font>
      <sz val="10"/>
      <name val="Arial"/>
      <family val="2"/>
    </font>
    <font>
      <sz val="9"/>
      <color rgb="FF000000"/>
      <name val="Arial"/>
      <family val="2"/>
    </font>
    <font>
      <i/>
      <sz val="9"/>
      <color rgb="FFFF0000"/>
      <name val="Arial"/>
      <family val="2"/>
      <scheme val="minor"/>
    </font>
    <font>
      <b/>
      <sz val="18"/>
      <color rgb="FFC00000"/>
      <name val="Verdana"/>
      <family val="2"/>
    </font>
    <font>
      <sz val="10"/>
      <color rgb="FF000000"/>
      <name val="Roboto"/>
    </font>
    <font>
      <b/>
      <sz val="10"/>
      <color rgb="FFFFFFFF"/>
      <name val="Roboto"/>
    </font>
    <font>
      <b/>
      <sz val="11"/>
      <color theme="1"/>
      <name val="Arial"/>
      <family val="2"/>
      <scheme val="minor"/>
    </font>
    <font>
      <b/>
      <sz val="10"/>
      <color theme="1"/>
      <name val="Arial"/>
      <family val="2"/>
      <scheme val="minor"/>
    </font>
    <font>
      <b/>
      <sz val="10"/>
      <color rgb="FF000000"/>
      <name val="Roboto"/>
    </font>
    <font>
      <sz val="10"/>
      <color theme="1"/>
      <name val="Roboto"/>
    </font>
    <font>
      <sz val="10"/>
      <color theme="1"/>
      <name val="Arial"/>
      <family val="2"/>
    </font>
    <font>
      <sz val="11"/>
      <color theme="1"/>
      <name val="Roboto"/>
    </font>
    <font>
      <b/>
      <sz val="16"/>
      <color theme="1"/>
      <name val="Roboto"/>
    </font>
    <font>
      <u/>
      <sz val="11"/>
      <color rgb="FF000000"/>
      <name val="Roboto"/>
    </font>
    <font>
      <sz val="10"/>
      <color rgb="FF222222"/>
      <name val="Arial"/>
      <family val="2"/>
    </font>
    <font>
      <sz val="9"/>
      <color rgb="FF000000"/>
      <name val="Arial"/>
      <family val="2"/>
      <scheme val="minor"/>
    </font>
    <font>
      <sz val="10"/>
      <color rgb="FF000000"/>
      <name val="Arial"/>
      <family val="2"/>
      <scheme val="minor"/>
    </font>
    <font>
      <sz val="10"/>
      <color rgb="FFFF0000"/>
      <name val="Arial"/>
      <family val="2"/>
    </font>
    <font>
      <sz val="10"/>
      <color rgb="FF000000"/>
      <name val="Century Gothic"/>
      <family val="2"/>
    </font>
    <font>
      <sz val="10"/>
      <color theme="1"/>
      <name val="Century Gothic"/>
      <family val="2"/>
    </font>
    <font>
      <u/>
      <sz val="10"/>
      <color theme="10"/>
      <name val="Arial"/>
      <family val="2"/>
      <scheme val="minor"/>
    </font>
    <font>
      <sz val="8"/>
      <name val="Arial"/>
      <family val="2"/>
      <scheme val="minor"/>
    </font>
    <font>
      <sz val="10"/>
      <name val="Arial"/>
      <family val="2"/>
      <scheme val="minor"/>
    </font>
    <font>
      <b/>
      <sz val="10"/>
      <color rgb="FF000000"/>
      <name val="Century Gothic"/>
      <family val="2"/>
    </font>
    <font>
      <sz val="11"/>
      <color rgb="FFFF0000"/>
      <name val="Roboto"/>
    </font>
    <font>
      <sz val="10"/>
      <color rgb="FFFF0000"/>
      <name val="Arial"/>
      <family val="2"/>
      <scheme val="minor"/>
    </font>
    <font>
      <sz val="10"/>
      <color rgb="FF000000"/>
      <name val="Times New Roman"/>
      <family val="1"/>
    </font>
    <font>
      <sz val="12"/>
      <color rgb="FF000000"/>
      <name val="Times New Roman"/>
      <family val="1"/>
    </font>
    <font>
      <b/>
      <sz val="10"/>
      <color rgb="FFFF0000"/>
      <name val="Roboto"/>
    </font>
    <font>
      <sz val="10"/>
      <name val="Roboto"/>
    </font>
    <font>
      <b/>
      <sz val="11"/>
      <name val="Roboto"/>
    </font>
    <font>
      <b/>
      <sz val="10"/>
      <name val="Roboto"/>
    </font>
    <font>
      <sz val="9"/>
      <color rgb="FF000000"/>
      <name val="Century Gothic"/>
      <family val="2"/>
    </font>
    <font>
      <b/>
      <sz val="10"/>
      <color theme="5"/>
      <name val="Roboto"/>
    </font>
    <font>
      <b/>
      <sz val="9"/>
      <color rgb="FF000000"/>
      <name val="Century Gothic"/>
      <family val="2"/>
    </font>
    <font>
      <sz val="10"/>
      <name val="Century Gothic"/>
      <family val="2"/>
    </font>
    <font>
      <sz val="8"/>
      <color rgb="FF000000"/>
      <name val="Century Gothic"/>
      <family val="2"/>
    </font>
    <font>
      <sz val="11"/>
      <name val="Roboto"/>
    </font>
    <font>
      <b/>
      <sz val="8"/>
      <color rgb="FF000000"/>
      <name val="Century Gothic"/>
      <family val="2"/>
    </font>
    <font>
      <sz val="9"/>
      <name val="Century Gothic"/>
      <family val="2"/>
    </font>
    <font>
      <sz val="8"/>
      <color rgb="FF000000"/>
      <name val="Arial"/>
      <family val="2"/>
    </font>
    <font>
      <sz val="11"/>
      <color rgb="FF000000"/>
      <name val="Calibri"/>
      <family val="2"/>
    </font>
    <font>
      <sz val="10"/>
      <color rgb="FF222222"/>
      <name val="Century Gothic"/>
      <family val="2"/>
    </font>
    <font>
      <b/>
      <sz val="10"/>
      <name val="Century Gothic"/>
      <family val="2"/>
    </font>
    <font>
      <sz val="9"/>
      <name val="Arial"/>
      <family val="2"/>
    </font>
    <font>
      <u/>
      <sz val="10"/>
      <name val="Century Gothic"/>
      <family val="2"/>
    </font>
    <font>
      <b/>
      <sz val="10"/>
      <name val="Arial"/>
      <family val="2"/>
      <scheme val="minor"/>
    </font>
    <font>
      <b/>
      <sz val="18"/>
      <name val="Verdana"/>
      <family val="2"/>
    </font>
    <font>
      <sz val="11"/>
      <color theme="4"/>
      <name val="Roboto"/>
    </font>
    <font>
      <b/>
      <sz val="12"/>
      <name val="Century Gothic"/>
      <family val="2"/>
    </font>
    <font>
      <b/>
      <sz val="12"/>
      <color rgb="FF000000"/>
      <name val="Century Gothic"/>
      <family val="2"/>
    </font>
    <font>
      <sz val="12"/>
      <color rgb="FF000000"/>
      <name val="Century Gothic"/>
      <family val="2"/>
    </font>
    <font>
      <sz val="28"/>
      <color rgb="FF000000"/>
      <name val="Century Gothic"/>
      <family val="2"/>
    </font>
    <font>
      <b/>
      <sz val="10"/>
      <name val="Arial"/>
      <family val="2"/>
    </font>
    <font>
      <sz val="10"/>
      <color theme="1"/>
      <name val="Arial"/>
      <family val="2"/>
      <scheme val="minor"/>
    </font>
    <font>
      <b/>
      <sz val="10"/>
      <color theme="1"/>
      <name val="Roboto"/>
    </font>
    <font>
      <sz val="9"/>
      <color theme="1"/>
      <name val="Century Gothic"/>
      <family val="2"/>
    </font>
    <font>
      <sz val="9"/>
      <color rgb="FFFF0000"/>
      <name val="Arial"/>
      <family val="2"/>
    </font>
    <font>
      <sz val="9"/>
      <color theme="9" tint="-0.249977111117893"/>
      <name val="Arial"/>
      <family val="2"/>
    </font>
    <font>
      <sz val="10"/>
      <color theme="9" tint="-0.249977111117893"/>
      <name val="Arial"/>
      <family val="2"/>
      <scheme val="minor"/>
    </font>
    <font>
      <sz val="10"/>
      <color rgb="FF000000"/>
      <name val="Symbol"/>
      <family val="1"/>
      <charset val="2"/>
    </font>
    <font>
      <sz val="10"/>
      <color rgb="FF000000"/>
      <name val="Arial"/>
      <family val="2"/>
      <scheme val="minor"/>
    </font>
    <font>
      <b/>
      <sz val="8"/>
      <color rgb="FF444649"/>
      <name val="Arial"/>
      <family val="2"/>
    </font>
    <font>
      <sz val="8"/>
      <color rgb="FF444649"/>
      <name val="Arial"/>
      <family val="2"/>
    </font>
    <font>
      <sz val="10"/>
      <color theme="3"/>
      <name val="Century Gothic"/>
      <family val="2"/>
    </font>
    <font>
      <sz val="9"/>
      <color theme="9" tint="0.39997558519241921"/>
      <name val="Arial"/>
      <family val="2"/>
    </font>
    <font>
      <sz val="10"/>
      <color theme="9" tint="0.39997558519241921"/>
      <name val="Arial"/>
      <family val="2"/>
      <scheme val="minor"/>
    </font>
    <font>
      <sz val="10"/>
      <name val="Calibri"/>
      <family val="2"/>
    </font>
    <font>
      <b/>
      <sz val="9"/>
      <name val="Century Gothic"/>
      <family val="2"/>
    </font>
    <font>
      <sz val="8"/>
      <name val="Times New Roman"/>
      <family val="1"/>
    </font>
    <font>
      <sz val="12"/>
      <name val="Times New Roman"/>
      <family val="1"/>
    </font>
    <font>
      <i/>
      <sz val="9"/>
      <color rgb="FFFF0000"/>
      <name val="Century Gothic"/>
      <family val="2"/>
    </font>
    <font>
      <b/>
      <sz val="18"/>
      <name val="Century Gothic"/>
      <family val="2"/>
    </font>
    <font>
      <sz val="11"/>
      <color theme="1"/>
      <name val="Century Gothic"/>
      <family val="2"/>
    </font>
    <font>
      <b/>
      <sz val="11"/>
      <color theme="1"/>
      <name val="Century Gothic"/>
      <family val="2"/>
    </font>
    <font>
      <b/>
      <sz val="10"/>
      <color theme="1"/>
      <name val="Century Gothic"/>
      <family val="2"/>
    </font>
    <font>
      <b/>
      <sz val="16"/>
      <color theme="1"/>
      <name val="Century Gothic"/>
      <family val="2"/>
    </font>
    <font>
      <sz val="11"/>
      <name val="Century Gothic"/>
      <family val="2"/>
    </font>
    <font>
      <b/>
      <sz val="11"/>
      <name val="Century Gothic"/>
      <family val="2"/>
    </font>
    <font>
      <b/>
      <sz val="10"/>
      <color rgb="FFFFFFFF"/>
      <name val="Century Gothic"/>
      <family val="2"/>
    </font>
    <font>
      <sz val="12"/>
      <color theme="1"/>
      <name val="Calibri"/>
      <family val="2"/>
    </font>
    <font>
      <sz val="9"/>
      <color indexed="81"/>
      <name val="Tahoma"/>
      <family val="2"/>
    </font>
    <font>
      <b/>
      <sz val="9"/>
      <color indexed="81"/>
      <name val="Tahoma"/>
      <family val="2"/>
    </font>
    <font>
      <b/>
      <sz val="11"/>
      <color rgb="FF000000"/>
      <name val="Aptos Narrow"/>
      <family val="2"/>
    </font>
    <font>
      <sz val="10"/>
      <color rgb="FF000000"/>
      <name val="Arial"/>
      <family val="2"/>
    </font>
    <font>
      <b/>
      <sz val="10"/>
      <color rgb="FF000000"/>
      <name val="Arial"/>
      <family val="2"/>
    </font>
    <font>
      <b/>
      <sz val="10"/>
      <color rgb="FF444649"/>
      <name val="Arial"/>
      <family val="2"/>
    </font>
    <font>
      <b/>
      <sz val="10"/>
      <color rgb="FF000000"/>
      <name val="Arial"/>
      <family val="2"/>
      <scheme val="minor"/>
    </font>
    <font>
      <b/>
      <sz val="12"/>
      <color theme="1"/>
      <name val="Century Gothic"/>
      <family val="2"/>
    </font>
    <font>
      <sz val="10"/>
      <name val="Symbol"/>
      <family val="1"/>
      <charset val="2"/>
    </font>
    <font>
      <sz val="7"/>
      <name val="Times New Roman"/>
      <family val="1"/>
    </font>
    <font>
      <sz val="8"/>
      <name val="Arial"/>
      <family val="2"/>
      <scheme val="minor"/>
    </font>
    <font>
      <i/>
      <sz val="10"/>
      <color theme="1"/>
      <name val="Century Gothic"/>
      <family val="2"/>
    </font>
    <font>
      <sz val="10"/>
      <color theme="1"/>
      <name val="Aptos Narrow"/>
      <family val="2"/>
    </font>
    <font>
      <sz val="10"/>
      <color theme="1"/>
      <name val="Calibri"/>
      <family val="2"/>
    </font>
    <font>
      <b/>
      <sz val="9"/>
      <color rgb="FF444649"/>
      <name val="Century Gothic"/>
      <family val="2"/>
    </font>
    <font>
      <sz val="9"/>
      <color rgb="FF444649"/>
      <name val="Century Gothic"/>
      <family val="2"/>
    </font>
    <font>
      <sz val="11"/>
      <name val="Arial"/>
      <family val="2"/>
      <scheme val="minor"/>
    </font>
    <font>
      <sz val="8"/>
      <color rgb="FF000000"/>
      <name val="Times New Roman"/>
      <family val="1"/>
    </font>
    <font>
      <sz val="10"/>
      <color rgb="FFFF0000"/>
      <name val="Century Gothic"/>
      <family val="2"/>
    </font>
    <font>
      <sz val="10"/>
      <color theme="5"/>
      <name val="Arial"/>
      <family val="2"/>
      <scheme val="minor"/>
    </font>
    <font>
      <sz val="7"/>
      <color rgb="FF000000"/>
      <name val="Times New Roman"/>
      <family val="1"/>
    </font>
    <font>
      <u/>
      <sz val="9"/>
      <name val="Century Gothic"/>
      <family val="2"/>
    </font>
    <font>
      <b/>
      <u/>
      <sz val="9"/>
      <name val="Century Gothic"/>
      <family val="2"/>
    </font>
    <font>
      <strike/>
      <sz val="10"/>
      <name val="Century Gothic"/>
      <family val="2"/>
    </font>
    <font>
      <b/>
      <sz val="10"/>
      <name val="Arial"/>
      <family val="2"/>
    </font>
  </fonts>
  <fills count="38">
    <fill>
      <patternFill patternType="none"/>
    </fill>
    <fill>
      <patternFill patternType="gray125"/>
    </fill>
    <fill>
      <patternFill patternType="solid">
        <fgColor rgb="FFD9D9D9"/>
        <bgColor rgb="FFD9D9D9"/>
      </patternFill>
    </fill>
    <fill>
      <patternFill patternType="solid">
        <fgColor rgb="FFFFFFFF"/>
        <bgColor rgb="FFFFFFFF"/>
      </patternFill>
    </fill>
    <fill>
      <patternFill patternType="solid">
        <fgColor rgb="FFBFBFBF"/>
        <bgColor indexed="64"/>
      </patternFill>
    </fill>
    <fill>
      <patternFill patternType="solid">
        <fgColor rgb="FFFFFFFF"/>
        <bgColor indexed="64"/>
      </patternFill>
    </fill>
    <fill>
      <patternFill patternType="solid">
        <fgColor theme="0" tint="-0.249977111117893"/>
        <bgColor rgb="FFFFFFFF"/>
      </patternFill>
    </fill>
    <fill>
      <patternFill patternType="solid">
        <fgColor theme="0" tint="-0.249977111117893"/>
        <bgColor indexed="64"/>
      </patternFill>
    </fill>
    <fill>
      <patternFill patternType="solid">
        <fgColor rgb="FFC0C0C0"/>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249977111117893"/>
        <bgColor rgb="FF990000"/>
      </patternFill>
    </fill>
    <fill>
      <patternFill patternType="solid">
        <fgColor theme="4" tint="0.79998168889431442"/>
        <bgColor rgb="FFFFFFFF"/>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FF000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D9D9D9"/>
        <bgColor indexed="64"/>
      </patternFill>
    </fill>
    <fill>
      <patternFill patternType="solid">
        <fgColor rgb="FFEFEFEF"/>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34998626667073579"/>
        <bgColor rgb="FFD9D9D9"/>
      </patternFill>
    </fill>
    <fill>
      <patternFill patternType="solid">
        <fgColor theme="0" tint="-0.14999847407452621"/>
        <bgColor rgb="FFD9D9D9"/>
      </patternFill>
    </fill>
    <fill>
      <patternFill patternType="solid">
        <fgColor theme="0" tint="-0.249977111117893"/>
        <bgColor rgb="FFD9D9D9"/>
      </patternFill>
    </fill>
    <fill>
      <patternFill patternType="solid">
        <fgColor theme="0"/>
        <bgColor rgb="FF990000"/>
      </patternFill>
    </fill>
    <fill>
      <patternFill patternType="solid">
        <fgColor rgb="FFF7CAAC"/>
        <bgColor indexed="64"/>
      </patternFill>
    </fill>
    <fill>
      <patternFill patternType="solid">
        <fgColor rgb="FFF1960F"/>
        <bgColor indexed="64"/>
      </patternFill>
    </fill>
    <fill>
      <patternFill patternType="solid">
        <fgColor rgb="FF83E28E"/>
        <bgColor indexed="64"/>
      </patternFill>
    </fill>
    <fill>
      <patternFill patternType="solid">
        <fgColor theme="6"/>
        <bgColor indexed="64"/>
      </patternFill>
    </fill>
    <fill>
      <patternFill patternType="solid">
        <fgColor theme="0"/>
        <bgColor rgb="FFD9D9D9"/>
      </patternFill>
    </fill>
    <fill>
      <patternFill patternType="solid">
        <fgColor rgb="FFA6A6A6"/>
        <bgColor indexed="64"/>
      </patternFill>
    </fill>
    <fill>
      <patternFill patternType="solid">
        <fgColor rgb="FFF4B083"/>
        <bgColor indexed="64"/>
      </patternFill>
    </fill>
    <fill>
      <patternFill patternType="solid">
        <fgColor rgb="FFBFBFBF"/>
        <bgColor rgb="FF990000"/>
      </patternFill>
    </fill>
  </fills>
  <borders count="6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indexed="64"/>
      </bottom>
      <diagonal/>
    </border>
    <border>
      <left/>
      <right/>
      <top/>
      <bottom style="medium">
        <color rgb="FF000000"/>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rgb="FF000000"/>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rgb="FF000000"/>
      </top>
      <bottom style="thin">
        <color indexed="64"/>
      </bottom>
      <diagonal/>
    </border>
    <border>
      <left/>
      <right style="medium">
        <color rgb="FF000000"/>
      </right>
      <top style="medium">
        <color indexed="64"/>
      </top>
      <bottom style="thin">
        <color indexed="64"/>
      </bottom>
      <diagonal/>
    </border>
    <border>
      <left/>
      <right style="medium">
        <color indexed="64"/>
      </right>
      <top style="thin">
        <color indexed="64"/>
      </top>
      <bottom style="thin">
        <color indexed="64"/>
      </bottom>
      <diagonal/>
    </border>
  </borders>
  <cellStyleXfs count="4">
    <xf numFmtId="0" fontId="0" fillId="0" borderId="0"/>
    <xf numFmtId="0" fontId="24" fillId="0" borderId="0" applyNumberFormat="0" applyFill="0" applyBorder="0" applyAlignment="0" applyProtection="0"/>
    <xf numFmtId="9" fontId="20" fillId="0" borderId="0" applyFont="0" applyFill="0" applyBorder="0" applyAlignment="0" applyProtection="0"/>
    <xf numFmtId="166" fontId="65" fillId="0" borderId="0" applyFont="0" applyFill="0" applyBorder="0" applyAlignment="0" applyProtection="0"/>
  </cellStyleXfs>
  <cellXfs count="1096">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wrapText="1"/>
    </xf>
    <xf numFmtId="0" fontId="7"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left" vertical="center"/>
    </xf>
    <xf numFmtId="0" fontId="13" fillId="0" borderId="0" xfId="0" applyFont="1"/>
    <xf numFmtId="0" fontId="15" fillId="0" borderId="0" xfId="0" applyFont="1"/>
    <xf numFmtId="0" fontId="16" fillId="0" borderId="0" xfId="0" applyFont="1" applyAlignment="1">
      <alignment horizontal="center" vertical="center"/>
    </xf>
    <xf numFmtId="0" fontId="17" fillId="0" borderId="0" xfId="0" applyFont="1" applyAlignment="1">
      <alignment horizontal="left" vertical="top"/>
    </xf>
    <xf numFmtId="0" fontId="29" fillId="0" borderId="0" xfId="0" applyFont="1"/>
    <xf numFmtId="0" fontId="4" fillId="0" borderId="14" xfId="0" applyFont="1" applyBorder="1"/>
    <xf numFmtId="0" fontId="4" fillId="0" borderId="0" xfId="0" applyFont="1"/>
    <xf numFmtId="0" fontId="9" fillId="0" borderId="0" xfId="0" applyFont="1" applyAlignment="1">
      <alignment horizontal="left" vertical="center"/>
    </xf>
    <xf numFmtId="0" fontId="33" fillId="0" borderId="0" xfId="0" applyFont="1"/>
    <xf numFmtId="0" fontId="0" fillId="0" borderId="14" xfId="0" applyBorder="1"/>
    <xf numFmtId="9" fontId="22" fillId="0" borderId="0" xfId="0" applyNumberFormat="1" applyFont="1" applyAlignment="1">
      <alignment vertical="center" wrapText="1"/>
    </xf>
    <xf numFmtId="0" fontId="37" fillId="0" borderId="0" xfId="0" applyFont="1" applyAlignment="1">
      <alignment horizontal="left" vertical="center"/>
    </xf>
    <xf numFmtId="0" fontId="22" fillId="0" borderId="0" xfId="0" applyFont="1" applyAlignment="1">
      <alignment horizontal="center" vertical="center" wrapText="1"/>
    </xf>
    <xf numFmtId="10" fontId="22" fillId="0" borderId="0" xfId="0" applyNumberFormat="1" applyFont="1" applyAlignment="1">
      <alignment horizontal="center" vertical="center" wrapText="1"/>
    </xf>
    <xf numFmtId="9" fontId="22" fillId="0" borderId="0" xfId="0" applyNumberFormat="1" applyFont="1" applyAlignment="1">
      <alignment horizontal="center" vertical="center" wrapText="1"/>
    </xf>
    <xf numFmtId="0" fontId="34" fillId="0" borderId="0" xfId="0" applyFont="1" applyAlignment="1">
      <alignment vertical="center" wrapText="1"/>
    </xf>
    <xf numFmtId="0" fontId="33" fillId="0" borderId="0" xfId="0" applyFont="1" applyAlignment="1">
      <alignment vertical="center"/>
    </xf>
    <xf numFmtId="10" fontId="33" fillId="0" borderId="0" xfId="2" applyNumberFormat="1" applyFont="1" applyFill="1" applyBorder="1" applyAlignment="1">
      <alignment vertical="center"/>
    </xf>
    <xf numFmtId="0" fontId="39" fillId="0" borderId="14" xfId="0" applyFont="1" applyBorder="1" applyAlignment="1">
      <alignment horizontal="center" vertical="center" wrapText="1"/>
    </xf>
    <xf numFmtId="9" fontId="22" fillId="0" borderId="0" xfId="0" applyNumberFormat="1" applyFont="1" applyAlignment="1">
      <alignment horizontal="center" vertical="center"/>
    </xf>
    <xf numFmtId="0" fontId="36" fillId="0" borderId="0" xfId="0" applyFont="1" applyAlignment="1">
      <alignment vertical="center" wrapText="1"/>
    </xf>
    <xf numFmtId="0" fontId="35" fillId="0" borderId="0" xfId="0" applyFont="1" applyAlignment="1">
      <alignment vertical="center"/>
    </xf>
    <xf numFmtId="0" fontId="36" fillId="0" borderId="14" xfId="0" applyFont="1" applyBorder="1" applyAlignment="1">
      <alignment horizontal="center" vertical="center" wrapText="1"/>
    </xf>
    <xf numFmtId="0" fontId="22" fillId="5" borderId="0" xfId="0" applyFont="1" applyFill="1" applyAlignment="1">
      <alignment horizontal="center" vertical="center" wrapText="1"/>
    </xf>
    <xf numFmtId="0" fontId="32" fillId="0" borderId="0" xfId="0" applyFont="1" applyAlignment="1">
      <alignment horizontal="left" vertical="center"/>
    </xf>
    <xf numFmtId="0" fontId="20" fillId="0" borderId="14" xfId="0" applyFont="1" applyBorder="1"/>
    <xf numFmtId="0" fontId="36" fillId="0" borderId="0" xfId="0" applyFont="1"/>
    <xf numFmtId="0" fontId="36" fillId="0" borderId="14" xfId="0" applyFont="1" applyBorder="1" applyAlignment="1">
      <alignment horizontal="center" vertical="center"/>
    </xf>
    <xf numFmtId="0" fontId="30" fillId="0" borderId="14" xfId="0" applyFont="1" applyBorder="1" applyAlignment="1">
      <alignment vertical="center"/>
    </xf>
    <xf numFmtId="10" fontId="36" fillId="0" borderId="14" xfId="0" applyNumberFormat="1" applyFont="1" applyBorder="1" applyAlignment="1">
      <alignment horizontal="center" vertical="center"/>
    </xf>
    <xf numFmtId="10" fontId="36" fillId="0" borderId="14" xfId="0" applyNumberFormat="1" applyFont="1" applyBorder="1" applyAlignment="1">
      <alignment horizontal="center" vertical="center" wrapText="1"/>
    </xf>
    <xf numFmtId="0" fontId="43" fillId="0" borderId="14" xfId="0" applyFont="1" applyBorder="1" applyAlignment="1">
      <alignment horizontal="center" vertical="center" wrapText="1"/>
    </xf>
    <xf numFmtId="0" fontId="0" fillId="0" borderId="0" xfId="0" applyAlignment="1">
      <alignment wrapText="1"/>
    </xf>
    <xf numFmtId="0" fontId="22" fillId="0" borderId="14" xfId="0" applyFont="1" applyBorder="1" applyAlignment="1">
      <alignment horizontal="center" vertical="center" wrapText="1"/>
    </xf>
    <xf numFmtId="0" fontId="35" fillId="2" borderId="14" xfId="0" applyFont="1" applyFill="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10" fontId="33" fillId="0" borderId="14" xfId="2" applyNumberFormat="1" applyFont="1" applyBorder="1" applyAlignment="1">
      <alignment vertical="center"/>
    </xf>
    <xf numFmtId="10" fontId="33" fillId="0" borderId="0" xfId="2" applyNumberFormat="1" applyFont="1" applyAlignment="1">
      <alignment vertical="center"/>
    </xf>
    <xf numFmtId="0" fontId="0" fillId="0" borderId="14" xfId="0" applyBorder="1" applyAlignment="1">
      <alignment horizontal="center"/>
    </xf>
    <xf numFmtId="0" fontId="20" fillId="0" borderId="14" xfId="0" applyFont="1" applyBorder="1" applyAlignment="1">
      <alignment horizontal="center"/>
    </xf>
    <xf numFmtId="10" fontId="33" fillId="0" borderId="14" xfId="2" applyNumberFormat="1" applyFont="1" applyBorder="1" applyAlignment="1">
      <alignment horizontal="center" vertical="center"/>
    </xf>
    <xf numFmtId="0" fontId="22" fillId="0" borderId="14" xfId="0" applyFont="1" applyBorder="1" applyAlignment="1">
      <alignment horizontal="center"/>
    </xf>
    <xf numFmtId="9" fontId="39" fillId="0" borderId="14" xfId="0" applyNumberFormat="1" applyFont="1" applyBorder="1" applyAlignment="1">
      <alignment horizontal="center" vertical="center" wrapText="1"/>
    </xf>
    <xf numFmtId="10" fontId="4" fillId="0" borderId="0" xfId="0" applyNumberFormat="1" applyFont="1" applyAlignment="1">
      <alignment vertical="center"/>
    </xf>
    <xf numFmtId="0" fontId="31" fillId="0" borderId="14" xfId="0" applyFont="1" applyBorder="1" applyAlignment="1">
      <alignment horizontal="center" vertical="center" wrapText="1"/>
    </xf>
    <xf numFmtId="9" fontId="36" fillId="0" borderId="14" xfId="0" applyNumberFormat="1" applyFont="1" applyBorder="1" applyAlignment="1">
      <alignment horizontal="center" vertical="center" wrapText="1"/>
    </xf>
    <xf numFmtId="0" fontId="22" fillId="0" borderId="21" xfId="0" applyFont="1" applyBorder="1" applyAlignment="1">
      <alignment horizontal="center"/>
    </xf>
    <xf numFmtId="10" fontId="39" fillId="0" borderId="14" xfId="2" applyNumberFormat="1" applyFont="1" applyBorder="1" applyAlignment="1">
      <alignment horizontal="center" vertical="center"/>
    </xf>
    <xf numFmtId="2" fontId="39" fillId="0" borderId="14" xfId="0" applyNumberFormat="1" applyFont="1" applyBorder="1" applyAlignment="1">
      <alignment horizontal="center" vertical="center"/>
    </xf>
    <xf numFmtId="2" fontId="4" fillId="0" borderId="14" xfId="0" applyNumberFormat="1" applyFont="1" applyBorder="1" applyAlignment="1">
      <alignment horizontal="center" vertical="center"/>
    </xf>
    <xf numFmtId="9" fontId="22" fillId="0" borderId="14" xfId="0" applyNumberFormat="1" applyFont="1" applyBorder="1" applyAlignment="1">
      <alignment horizontal="center" vertical="center" wrapText="1"/>
    </xf>
    <xf numFmtId="0" fontId="39" fillId="0" borderId="0" xfId="0" applyFont="1" applyAlignment="1">
      <alignment horizontal="center" vertical="center" wrapText="1"/>
    </xf>
    <xf numFmtId="10" fontId="39" fillId="0" borderId="0" xfId="0" applyNumberFormat="1" applyFont="1" applyAlignment="1">
      <alignment horizontal="center" vertical="center" wrapText="1"/>
    </xf>
    <xf numFmtId="0" fontId="27" fillId="0" borderId="0" xfId="0" applyFont="1" applyAlignment="1">
      <alignment horizontal="left" vertical="center" wrapText="1"/>
    </xf>
    <xf numFmtId="0" fontId="22" fillId="0" borderId="0" xfId="0" applyFont="1" applyAlignment="1">
      <alignment horizontal="left" vertical="center" wrapText="1"/>
    </xf>
    <xf numFmtId="0" fontId="35" fillId="11" borderId="10" xfId="0" applyFont="1" applyFill="1" applyBorder="1" applyAlignment="1">
      <alignment horizontal="left" vertical="center"/>
    </xf>
    <xf numFmtId="0" fontId="38" fillId="0" borderId="14" xfId="0" applyFont="1" applyBorder="1" applyAlignment="1">
      <alignment horizontal="center" vertical="center" wrapText="1"/>
    </xf>
    <xf numFmtId="0" fontId="0" fillId="0" borderId="14" xfId="0" applyBorder="1" applyAlignment="1">
      <alignment horizontal="center" vertical="center"/>
    </xf>
    <xf numFmtId="2" fontId="4" fillId="0" borderId="14" xfId="0" applyNumberFormat="1" applyFont="1" applyBorder="1" applyAlignment="1">
      <alignment vertical="center"/>
    </xf>
    <xf numFmtId="10" fontId="4" fillId="0" borderId="14" xfId="0" applyNumberFormat="1" applyFont="1" applyBorder="1" applyAlignment="1">
      <alignment vertical="center"/>
    </xf>
    <xf numFmtId="1" fontId="0" fillId="0" borderId="14" xfId="2" applyNumberFormat="1" applyFont="1" applyBorder="1"/>
    <xf numFmtId="0" fontId="36" fillId="0" borderId="21" xfId="0" applyFont="1" applyBorder="1" applyAlignment="1">
      <alignment horizontal="center" vertical="center" wrapText="1"/>
    </xf>
    <xf numFmtId="0" fontId="53" fillId="11" borderId="13" xfId="0" applyFont="1" applyFill="1" applyBorder="1" applyAlignment="1">
      <alignment horizontal="center" vertical="center" wrapText="1"/>
    </xf>
    <xf numFmtId="0" fontId="53" fillId="11" borderId="13" xfId="0" applyFont="1" applyFill="1" applyBorder="1" applyAlignment="1">
      <alignment horizontal="left" vertical="center" wrapText="1"/>
    </xf>
    <xf numFmtId="0" fontId="22" fillId="0" borderId="0" xfId="0" applyFont="1" applyAlignment="1">
      <alignment horizontal="left" wrapText="1"/>
    </xf>
    <xf numFmtId="0" fontId="27" fillId="0" borderId="0" xfId="0" applyFont="1" applyAlignment="1">
      <alignment horizontal="center" vertical="center" wrapText="1"/>
    </xf>
    <xf numFmtId="0" fontId="54" fillId="0" borderId="0" xfId="0" applyFont="1" applyAlignment="1">
      <alignment horizontal="center" vertical="center" wrapText="1"/>
    </xf>
    <xf numFmtId="0" fontId="23" fillId="0" borderId="0" xfId="0" applyFont="1" applyAlignment="1">
      <alignment horizontal="left" vertical="center" wrapText="1"/>
    </xf>
    <xf numFmtId="0" fontId="53" fillId="11" borderId="1" xfId="0" applyFont="1" applyFill="1" applyBorder="1" applyAlignment="1">
      <alignment horizontal="center" vertical="center" wrapText="1"/>
    </xf>
    <xf numFmtId="0" fontId="22" fillId="0" borderId="0" xfId="0" applyFont="1" applyAlignment="1">
      <alignment vertical="center" wrapText="1"/>
    </xf>
    <xf numFmtId="0" fontId="36" fillId="5" borderId="14" xfId="0" applyFont="1" applyFill="1" applyBorder="1" applyAlignment="1">
      <alignment horizontal="center" vertical="center" wrapText="1"/>
    </xf>
    <xf numFmtId="0" fontId="38" fillId="4" borderId="14" xfId="0" applyFont="1" applyFill="1" applyBorder="1" applyAlignment="1">
      <alignment horizontal="center" vertical="center" wrapText="1"/>
    </xf>
    <xf numFmtId="0" fontId="22" fillId="5" borderId="14" xfId="0" applyFont="1" applyFill="1" applyBorder="1" applyAlignment="1">
      <alignment horizontal="center" vertical="center" wrapText="1"/>
    </xf>
    <xf numFmtId="9" fontId="22" fillId="0" borderId="14" xfId="0" applyNumberFormat="1" applyFont="1" applyBorder="1" applyAlignment="1">
      <alignment horizontal="center" vertical="center"/>
    </xf>
    <xf numFmtId="2" fontId="22" fillId="0" borderId="14" xfId="0" applyNumberFormat="1" applyFont="1" applyBorder="1" applyAlignment="1">
      <alignment horizontal="center" vertical="center" wrapText="1"/>
    </xf>
    <xf numFmtId="2" fontId="22" fillId="0" borderId="14" xfId="0" applyNumberFormat="1" applyFont="1" applyBorder="1" applyAlignment="1">
      <alignment horizontal="center" vertical="center"/>
    </xf>
    <xf numFmtId="0" fontId="20" fillId="0" borderId="14" xfId="0" applyFont="1" applyBorder="1" applyAlignment="1">
      <alignment horizontal="center" vertical="center" wrapText="1"/>
    </xf>
    <xf numFmtId="0" fontId="27" fillId="4" borderId="14"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27" fillId="4" borderId="24" xfId="0" applyFont="1" applyFill="1" applyBorder="1" applyAlignment="1">
      <alignment horizontal="center" vertical="center" wrapText="1"/>
    </xf>
    <xf numFmtId="9" fontId="39" fillId="0" borderId="14" xfId="2" applyFont="1" applyBorder="1" applyAlignment="1">
      <alignment horizontal="center" vertical="center"/>
    </xf>
    <xf numFmtId="0" fontId="22" fillId="5" borderId="14" xfId="0" applyFont="1" applyFill="1" applyBorder="1" applyAlignment="1">
      <alignment horizontal="center" vertical="center"/>
    </xf>
    <xf numFmtId="0" fontId="38" fillId="4" borderId="24" xfId="0" applyFont="1" applyFill="1" applyBorder="1" applyAlignment="1">
      <alignment horizontal="center" vertical="center" wrapText="1"/>
    </xf>
    <xf numFmtId="0" fontId="22" fillId="0" borderId="24" xfId="0" applyFont="1" applyBorder="1" applyAlignment="1">
      <alignment horizontal="center"/>
    </xf>
    <xf numFmtId="0" fontId="0" fillId="0" borderId="14" xfId="0" applyBorder="1" applyAlignment="1">
      <alignment horizontal="center" vertical="center" wrapText="1"/>
    </xf>
    <xf numFmtId="0" fontId="44" fillId="0" borderId="14" xfId="0" applyFont="1" applyBorder="1" applyAlignment="1">
      <alignment horizontal="center" vertical="center" wrapText="1"/>
    </xf>
    <xf numFmtId="0" fontId="35" fillId="2" borderId="19" xfId="0" applyFont="1" applyFill="1" applyBorder="1" applyAlignment="1">
      <alignment vertical="center"/>
    </xf>
    <xf numFmtId="9" fontId="22" fillId="0" borderId="19" xfId="0" applyNumberFormat="1" applyFont="1" applyBorder="1" applyAlignment="1">
      <alignment horizontal="center" vertical="center" wrapText="1"/>
    </xf>
    <xf numFmtId="9" fontId="39" fillId="0" borderId="14" xfId="0" applyNumberFormat="1" applyFont="1" applyBorder="1" applyAlignment="1">
      <alignment horizontal="center" vertical="center"/>
    </xf>
    <xf numFmtId="0" fontId="22" fillId="0" borderId="0" xfId="0" applyFont="1" applyAlignment="1">
      <alignment horizontal="center" vertical="center"/>
    </xf>
    <xf numFmtId="0" fontId="20" fillId="0" borderId="0" xfId="0" applyFont="1"/>
    <xf numFmtId="0" fontId="0" fillId="0" borderId="21" xfId="0" applyBorder="1"/>
    <xf numFmtId="0" fontId="22" fillId="0" borderId="32" xfId="0" applyFont="1" applyBorder="1" applyAlignment="1">
      <alignment horizontal="center" vertical="center" wrapText="1"/>
    </xf>
    <xf numFmtId="9" fontId="4" fillId="0" borderId="14" xfId="0" applyNumberFormat="1" applyFont="1" applyBorder="1"/>
    <xf numFmtId="0" fontId="60" fillId="17" borderId="14" xfId="0" applyFont="1" applyFill="1" applyBorder="1" applyAlignment="1">
      <alignment horizontal="center" vertical="center" wrapText="1"/>
    </xf>
    <xf numFmtId="9" fontId="36" fillId="0" borderId="14" xfId="0" applyNumberFormat="1" applyFont="1" applyBorder="1" applyAlignment="1">
      <alignment horizontal="center" vertical="center"/>
    </xf>
    <xf numFmtId="0" fontId="21" fillId="0" borderId="0" xfId="0" applyFont="1"/>
    <xf numFmtId="10" fontId="43" fillId="0" borderId="21" xfId="0" applyNumberFormat="1" applyFont="1" applyBorder="1" applyAlignment="1">
      <alignment horizontal="center" vertical="center" wrapText="1"/>
    </xf>
    <xf numFmtId="0" fontId="35" fillId="11" borderId="11" xfId="0" applyFont="1" applyFill="1" applyBorder="1" applyAlignment="1">
      <alignment horizontal="left" vertical="center"/>
    </xf>
    <xf numFmtId="0" fontId="4" fillId="7" borderId="12" xfId="0" applyFont="1" applyFill="1" applyBorder="1"/>
    <xf numFmtId="0" fontId="4" fillId="7" borderId="11" xfId="0" applyFont="1" applyFill="1" applyBorder="1"/>
    <xf numFmtId="0" fontId="21" fillId="0" borderId="4" xfId="0" applyFont="1" applyBorder="1"/>
    <xf numFmtId="0" fontId="21" fillId="0" borderId="6" xfId="0" applyFont="1" applyBorder="1"/>
    <xf numFmtId="0" fontId="41" fillId="0" borderId="1" xfId="0" applyFont="1" applyBorder="1" applyAlignment="1">
      <alignment horizontal="left" vertical="top" wrapText="1"/>
    </xf>
    <xf numFmtId="0" fontId="15" fillId="0" borderId="1" xfId="0" applyFont="1" applyBorder="1" applyAlignment="1">
      <alignment horizontal="left" vertical="top" wrapText="1"/>
    </xf>
    <xf numFmtId="0" fontId="14" fillId="0" borderId="4" xfId="0" applyFont="1" applyBorder="1"/>
    <xf numFmtId="0" fontId="14" fillId="0" borderId="6" xfId="0" applyFont="1" applyBorder="1"/>
    <xf numFmtId="2" fontId="18" fillId="6" borderId="14" xfId="0" applyNumberFormat="1" applyFont="1" applyFill="1" applyBorder="1" applyAlignment="1">
      <alignment horizontal="center"/>
    </xf>
    <xf numFmtId="0" fontId="38" fillId="21" borderId="18" xfId="0" applyFont="1" applyFill="1" applyBorder="1" applyAlignment="1">
      <alignment horizontal="center" vertical="center" wrapText="1"/>
    </xf>
    <xf numFmtId="0" fontId="36" fillId="0" borderId="32" xfId="0" applyFont="1" applyBorder="1" applyAlignment="1">
      <alignment horizontal="center" vertical="center"/>
    </xf>
    <xf numFmtId="0" fontId="36" fillId="0" borderId="40" xfId="0" applyFont="1" applyBorder="1" applyAlignment="1">
      <alignment horizontal="center" vertical="center"/>
    </xf>
    <xf numFmtId="0" fontId="38" fillId="21" borderId="41" xfId="0" applyFont="1" applyFill="1" applyBorder="1" applyAlignment="1">
      <alignment horizontal="center" vertical="center" wrapText="1"/>
    </xf>
    <xf numFmtId="0" fontId="36" fillId="0" borderId="35" xfId="0" applyFont="1" applyBorder="1" applyAlignment="1">
      <alignment horizontal="center" vertical="center"/>
    </xf>
    <xf numFmtId="0" fontId="36" fillId="0" borderId="42" xfId="0" applyFont="1" applyBorder="1" applyAlignment="1">
      <alignment horizontal="center" vertical="center"/>
    </xf>
    <xf numFmtId="0" fontId="38" fillId="21" borderId="14" xfId="0" applyFont="1" applyFill="1" applyBorder="1" applyAlignment="1">
      <alignment horizontal="center" vertical="center" wrapText="1"/>
    </xf>
    <xf numFmtId="0" fontId="38" fillId="0" borderId="32" xfId="0" applyFont="1" applyBorder="1" applyAlignment="1">
      <alignment horizontal="center" vertical="center" wrapText="1"/>
    </xf>
    <xf numFmtId="0" fontId="38" fillId="4" borderId="18" xfId="0" applyFont="1" applyFill="1" applyBorder="1" applyAlignment="1">
      <alignment horizontal="center" vertical="center" wrapText="1"/>
    </xf>
    <xf numFmtId="0" fontId="36" fillId="0" borderId="17" xfId="0" applyFont="1" applyBorder="1" applyAlignment="1">
      <alignment horizontal="center" vertical="center" wrapText="1"/>
    </xf>
    <xf numFmtId="0" fontId="36" fillId="0" borderId="32" xfId="0" applyFont="1" applyBorder="1" applyAlignment="1">
      <alignment horizontal="center" vertical="center" wrapText="1"/>
    </xf>
    <xf numFmtId="0" fontId="64" fillId="0" borderId="0" xfId="0" applyFont="1" applyAlignment="1">
      <alignment horizontal="justify" vertical="center"/>
    </xf>
    <xf numFmtId="0" fontId="35" fillId="0" borderId="0" xfId="0" applyFont="1" applyAlignment="1">
      <alignment horizontal="left" vertical="center"/>
    </xf>
    <xf numFmtId="0" fontId="39" fillId="0" borderId="14" xfId="0" applyFont="1" applyBorder="1" applyAlignment="1">
      <alignment horizontal="center" vertical="center"/>
    </xf>
    <xf numFmtId="0" fontId="31" fillId="0" borderId="0" xfId="0" applyFont="1" applyAlignment="1">
      <alignment vertical="center" wrapText="1"/>
    </xf>
    <xf numFmtId="0" fontId="27" fillId="4" borderId="16" xfId="0" applyFont="1" applyFill="1" applyBorder="1" applyAlignment="1">
      <alignment horizontal="center" vertical="center" wrapText="1"/>
    </xf>
    <xf numFmtId="0" fontId="27" fillId="4" borderId="18" xfId="0" applyFont="1" applyFill="1" applyBorder="1" applyAlignment="1">
      <alignment horizontal="center" vertical="center" wrapText="1"/>
    </xf>
    <xf numFmtId="0" fontId="42" fillId="0" borderId="0" xfId="0" applyFont="1" applyAlignment="1">
      <alignment vertical="center" wrapText="1"/>
    </xf>
    <xf numFmtId="0" fontId="66" fillId="7" borderId="14" xfId="0" applyFont="1" applyFill="1" applyBorder="1" applyAlignment="1">
      <alignment horizontal="center" vertical="center" wrapText="1"/>
    </xf>
    <xf numFmtId="10" fontId="4" fillId="7" borderId="14" xfId="0" applyNumberFormat="1" applyFont="1" applyFill="1" applyBorder="1"/>
    <xf numFmtId="0" fontId="66" fillId="0" borderId="0" xfId="0" applyFont="1" applyAlignment="1">
      <alignment horizontal="center" vertical="center" wrapText="1"/>
    </xf>
    <xf numFmtId="0" fontId="67" fillId="0" borderId="0" xfId="0" applyFont="1" applyAlignment="1">
      <alignment horizontal="center" vertical="center" wrapText="1"/>
    </xf>
    <xf numFmtId="10" fontId="4" fillId="0" borderId="0" xfId="0" applyNumberFormat="1" applyFont="1"/>
    <xf numFmtId="0" fontId="39" fillId="0" borderId="14" xfId="0" applyFont="1" applyBorder="1" applyAlignment="1">
      <alignment vertical="center" wrapText="1"/>
    </xf>
    <xf numFmtId="0" fontId="38" fillId="4" borderId="16" xfId="0" applyFont="1" applyFill="1" applyBorder="1" applyAlignment="1">
      <alignment horizontal="center" vertical="center" wrapText="1"/>
    </xf>
    <xf numFmtId="0" fontId="36" fillId="0" borderId="45" xfId="0" applyFont="1" applyBorder="1" applyAlignment="1">
      <alignment horizontal="center" vertical="center" wrapText="1"/>
    </xf>
    <xf numFmtId="9" fontId="39" fillId="23" borderId="14" xfId="0" applyNumberFormat="1" applyFont="1" applyFill="1" applyBorder="1" applyAlignment="1">
      <alignment horizontal="center" vertical="center"/>
    </xf>
    <xf numFmtId="0" fontId="36" fillId="0" borderId="16" xfId="0" applyFont="1" applyBorder="1" applyAlignment="1">
      <alignment horizontal="center" vertical="center" wrapText="1"/>
    </xf>
    <xf numFmtId="0" fontId="38" fillId="0" borderId="0" xfId="0" applyFont="1" applyAlignment="1">
      <alignment horizontal="center" vertical="center" wrapText="1"/>
    </xf>
    <xf numFmtId="9" fontId="4" fillId="7" borderId="14" xfId="0" applyNumberFormat="1" applyFont="1" applyFill="1" applyBorder="1"/>
    <xf numFmtId="10" fontId="47" fillId="24" borderId="14" xfId="0" applyNumberFormat="1" applyFont="1" applyFill="1" applyBorder="1" applyAlignment="1">
      <alignment horizontal="center" vertical="center" wrapText="1"/>
    </xf>
    <xf numFmtId="0" fontId="22" fillId="7" borderId="14" xfId="0" applyFont="1" applyFill="1" applyBorder="1" applyAlignment="1">
      <alignment horizontal="center" vertical="center" wrapText="1"/>
    </xf>
    <xf numFmtId="0" fontId="4" fillId="7" borderId="14" xfId="0" applyFont="1" applyFill="1" applyBorder="1"/>
    <xf numFmtId="0" fontId="33" fillId="0" borderId="14" xfId="0" applyFont="1" applyBorder="1" applyAlignment="1">
      <alignment horizontal="left" vertical="center"/>
    </xf>
    <xf numFmtId="10" fontId="4" fillId="0" borderId="14" xfId="0" applyNumberFormat="1" applyFont="1" applyBorder="1"/>
    <xf numFmtId="10" fontId="43" fillId="0" borderId="14" xfId="0" applyNumberFormat="1" applyFont="1" applyBorder="1" applyAlignment="1">
      <alignment horizontal="center" vertical="center" wrapText="1"/>
    </xf>
    <xf numFmtId="9" fontId="43" fillId="0" borderId="14" xfId="0" applyNumberFormat="1" applyFont="1" applyBorder="1" applyAlignment="1">
      <alignment horizontal="center" vertical="center" wrapText="1"/>
    </xf>
    <xf numFmtId="10" fontId="43" fillId="0" borderId="24" xfId="0" applyNumberFormat="1" applyFont="1" applyBorder="1" applyAlignment="1">
      <alignment horizontal="center" vertical="center" wrapText="1"/>
    </xf>
    <xf numFmtId="0" fontId="22" fillId="0" borderId="0" xfId="0" applyFont="1" applyAlignment="1">
      <alignment wrapText="1"/>
    </xf>
    <xf numFmtId="9" fontId="0" fillId="0" borderId="14" xfId="0" applyNumberFormat="1" applyBorder="1"/>
    <xf numFmtId="10" fontId="39" fillId="0" borderId="14" xfId="0" applyNumberFormat="1" applyFont="1" applyBorder="1" applyAlignment="1">
      <alignment horizontal="center" vertical="center" wrapText="1"/>
    </xf>
    <xf numFmtId="0" fontId="0" fillId="9" borderId="0" xfId="0" applyFill="1"/>
    <xf numFmtId="0" fontId="4" fillId="7" borderId="0" xfId="0" applyFont="1" applyFill="1"/>
    <xf numFmtId="10" fontId="22" fillId="7" borderId="14" xfId="0" applyNumberFormat="1" applyFont="1" applyFill="1" applyBorder="1" applyAlignment="1">
      <alignment horizontal="center" vertical="center" wrapText="1"/>
    </xf>
    <xf numFmtId="0" fontId="22" fillId="7" borderId="14" xfId="0" applyFont="1" applyFill="1" applyBorder="1" applyAlignment="1">
      <alignment horizontal="center" vertical="center"/>
    </xf>
    <xf numFmtId="10" fontId="22" fillId="7" borderId="14" xfId="0" applyNumberFormat="1" applyFont="1" applyFill="1" applyBorder="1" applyAlignment="1">
      <alignment horizontal="center" vertical="center"/>
    </xf>
    <xf numFmtId="10" fontId="57" fillId="0" borderId="0" xfId="0" applyNumberFormat="1" applyFont="1"/>
    <xf numFmtId="10" fontId="27" fillId="0" borderId="0" xfId="0" applyNumberFormat="1" applyFont="1" applyAlignment="1">
      <alignment horizontal="center" vertical="center"/>
    </xf>
    <xf numFmtId="0" fontId="22" fillId="0" borderId="46" xfId="0" applyFont="1" applyBorder="1" applyAlignment="1">
      <alignment horizontal="center" vertical="center"/>
    </xf>
    <xf numFmtId="0" fontId="22" fillId="0" borderId="15" xfId="0" applyFont="1" applyBorder="1" applyAlignment="1">
      <alignment horizontal="center" vertical="center"/>
    </xf>
    <xf numFmtId="0" fontId="22" fillId="0" borderId="29" xfId="0" applyFont="1" applyBorder="1" applyAlignment="1">
      <alignment horizontal="center" vertical="center"/>
    </xf>
    <xf numFmtId="10" fontId="33" fillId="0" borderId="19" xfId="2" applyNumberFormat="1" applyFont="1" applyBorder="1" applyAlignment="1">
      <alignment vertical="center"/>
    </xf>
    <xf numFmtId="0" fontId="43" fillId="0" borderId="14" xfId="2" applyNumberFormat="1" applyFont="1" applyBorder="1" applyAlignment="1">
      <alignment horizontal="center" vertical="center"/>
    </xf>
    <xf numFmtId="0" fontId="72" fillId="0" borderId="14" xfId="2" applyNumberFormat="1" applyFont="1" applyBorder="1" applyAlignment="1">
      <alignment horizontal="center" vertical="center"/>
    </xf>
    <xf numFmtId="0" fontId="4" fillId="0" borderId="14" xfId="0" applyFont="1" applyBorder="1" applyAlignment="1">
      <alignment vertical="center"/>
    </xf>
    <xf numFmtId="0" fontId="4" fillId="0" borderId="19" xfId="0" applyFont="1" applyBorder="1" applyAlignment="1">
      <alignment vertical="center"/>
    </xf>
    <xf numFmtId="0" fontId="23" fillId="0" borderId="14" xfId="0" applyFont="1" applyBorder="1" applyAlignment="1">
      <alignment horizontal="center" vertical="center"/>
    </xf>
    <xf numFmtId="10" fontId="23" fillId="0" borderId="14" xfId="0" applyNumberFormat="1" applyFont="1" applyBorder="1" applyAlignment="1">
      <alignment horizontal="center" vertical="center"/>
    </xf>
    <xf numFmtId="0" fontId="35" fillId="7" borderId="14" xfId="0" applyFont="1" applyFill="1" applyBorder="1" applyAlignment="1">
      <alignment horizontal="left" vertical="center"/>
    </xf>
    <xf numFmtId="0" fontId="36" fillId="0" borderId="14" xfId="0" applyFont="1" applyBorder="1" applyAlignment="1">
      <alignment wrapText="1"/>
    </xf>
    <xf numFmtId="0" fontId="22" fillId="0" borderId="0" xfId="0" applyFont="1"/>
    <xf numFmtId="0" fontId="39" fillId="0" borderId="11" xfId="0" applyFont="1" applyBorder="1"/>
    <xf numFmtId="0" fontId="77" fillId="0" borderId="0" xfId="0" applyFont="1" applyAlignment="1">
      <alignment vertical="center"/>
    </xf>
    <xf numFmtId="0" fontId="77" fillId="0" borderId="0" xfId="0" applyFont="1" applyAlignment="1">
      <alignment horizontal="center" vertical="center"/>
    </xf>
    <xf numFmtId="0" fontId="23" fillId="0" borderId="0" xfId="0" applyFont="1"/>
    <xf numFmtId="0" fontId="78" fillId="2" borderId="9" xfId="0" applyFont="1" applyFill="1" applyBorder="1" applyAlignment="1">
      <alignment horizontal="center" vertical="center" wrapText="1"/>
    </xf>
    <xf numFmtId="9" fontId="23" fillId="0" borderId="9" xfId="0" applyNumberFormat="1" applyFont="1" applyBorder="1" applyAlignment="1">
      <alignment horizontal="center" vertical="center"/>
    </xf>
    <xf numFmtId="10" fontId="23" fillId="0" borderId="9" xfId="0" applyNumberFormat="1" applyFont="1" applyBorder="1" applyAlignment="1">
      <alignment horizontal="center" vertical="center"/>
    </xf>
    <xf numFmtId="9" fontId="23" fillId="0" borderId="9" xfId="2" applyFont="1" applyBorder="1" applyAlignment="1">
      <alignment horizontal="center" vertical="center"/>
    </xf>
    <xf numFmtId="0" fontId="77" fillId="0" borderId="0" xfId="0" applyFont="1"/>
    <xf numFmtId="0" fontId="80" fillId="0" borderId="0" xfId="0" applyFont="1" applyAlignment="1">
      <alignment horizontal="center" vertical="center"/>
    </xf>
    <xf numFmtId="0" fontId="39" fillId="0" borderId="0" xfId="0" applyFont="1"/>
    <xf numFmtId="0" fontId="81" fillId="0" borderId="0" xfId="0" applyFont="1" applyAlignment="1">
      <alignment vertical="center"/>
    </xf>
    <xf numFmtId="0" fontId="81" fillId="0" borderId="0" xfId="0" applyFont="1" applyAlignment="1">
      <alignment horizontal="center" vertical="center"/>
    </xf>
    <xf numFmtId="0" fontId="83" fillId="0" borderId="0" xfId="0" applyFont="1" applyAlignment="1">
      <alignment horizontal="left" vertical="center"/>
    </xf>
    <xf numFmtId="0" fontId="22" fillId="0" borderId="0" xfId="0" applyFont="1" applyAlignment="1">
      <alignment horizontal="left" vertical="center"/>
    </xf>
    <xf numFmtId="0" fontId="77" fillId="0" borderId="0" xfId="0" applyFont="1" applyAlignment="1">
      <alignment horizontal="left" vertical="center"/>
    </xf>
    <xf numFmtId="0" fontId="23" fillId="0" borderId="0" xfId="0" applyFont="1" applyAlignment="1">
      <alignment horizontal="left" vertical="center"/>
    </xf>
    <xf numFmtId="0" fontId="22" fillId="0" borderId="34" xfId="0" applyFont="1" applyBorder="1"/>
    <xf numFmtId="1" fontId="39" fillId="0" borderId="14" xfId="0" applyNumberFormat="1" applyFont="1" applyBorder="1" applyAlignment="1">
      <alignment horizontal="center" vertical="center"/>
    </xf>
    <xf numFmtId="0" fontId="76" fillId="0" borderId="10" xfId="0" applyFont="1" applyBorder="1" applyAlignment="1">
      <alignment vertical="center"/>
    </xf>
    <xf numFmtId="0" fontId="27" fillId="8" borderId="14" xfId="0" applyFont="1" applyFill="1" applyBorder="1" applyAlignment="1">
      <alignment horizontal="center" vertical="center" wrapText="1"/>
    </xf>
    <xf numFmtId="0" fontId="42" fillId="7" borderId="19" xfId="0" applyFont="1" applyFill="1" applyBorder="1" applyAlignment="1">
      <alignment horizontal="center" vertical="center" wrapText="1"/>
    </xf>
    <xf numFmtId="0" fontId="42" fillId="7" borderId="14" xfId="0" applyFont="1" applyFill="1" applyBorder="1" applyAlignment="1">
      <alignment horizontal="center" vertical="center" wrapText="1"/>
    </xf>
    <xf numFmtId="0" fontId="19" fillId="10" borderId="14" xfId="0" applyFont="1" applyFill="1" applyBorder="1" applyAlignment="1">
      <alignment horizontal="center" vertical="center" textRotation="90" wrapText="1"/>
    </xf>
    <xf numFmtId="0" fontId="4" fillId="0" borderId="14" xfId="0" applyFont="1" applyBorder="1" applyAlignment="1">
      <alignment horizontal="center"/>
    </xf>
    <xf numFmtId="0" fontId="0" fillId="0" borderId="21" xfId="0" applyBorder="1" applyAlignment="1">
      <alignment horizontal="center"/>
    </xf>
    <xf numFmtId="0" fontId="20" fillId="0" borderId="14" xfId="0" applyFont="1" applyBorder="1" applyAlignment="1">
      <alignment horizontal="center" vertical="center"/>
    </xf>
    <xf numFmtId="0" fontId="47" fillId="2" borderId="21" xfId="0" applyFont="1" applyFill="1" applyBorder="1" applyAlignment="1">
      <alignment vertical="center"/>
    </xf>
    <xf numFmtId="0" fontId="27" fillId="7" borderId="14" xfId="0" applyFont="1" applyFill="1" applyBorder="1" applyAlignment="1">
      <alignment horizontal="center" vertical="center"/>
    </xf>
    <xf numFmtId="165" fontId="36" fillId="0" borderId="14" xfId="0" applyNumberFormat="1" applyFont="1" applyBorder="1" applyAlignment="1">
      <alignment horizontal="center" vertical="center" wrapText="1"/>
    </xf>
    <xf numFmtId="0" fontId="61" fillId="0" borderId="0" xfId="0" applyFont="1" applyAlignment="1">
      <alignment horizontal="center" vertical="center" wrapText="1"/>
    </xf>
    <xf numFmtId="0" fontId="39" fillId="0" borderId="14" xfId="0" applyFont="1" applyBorder="1" applyAlignment="1">
      <alignment horizontal="left" vertical="center" wrapText="1"/>
    </xf>
    <xf numFmtId="0" fontId="62" fillId="0" borderId="0" xfId="0" applyFont="1" applyAlignment="1">
      <alignment horizontal="center" vertical="center" wrapText="1"/>
    </xf>
    <xf numFmtId="0" fontId="24" fillId="0" borderId="14" xfId="1" applyFill="1" applyBorder="1" applyAlignment="1">
      <alignment horizontal="left" vertical="center" wrapText="1"/>
    </xf>
    <xf numFmtId="0" fontId="48" fillId="0" borderId="0" xfId="0" applyFont="1" applyAlignment="1">
      <alignment horizontal="center" vertical="center" wrapText="1"/>
    </xf>
    <xf numFmtId="0" fontId="69" fillId="0" borderId="0" xfId="0" applyFont="1" applyAlignment="1">
      <alignment horizontal="center" vertical="center" wrapText="1"/>
    </xf>
    <xf numFmtId="0" fontId="43" fillId="0" borderId="14" xfId="0" applyFont="1" applyBorder="1" applyAlignment="1">
      <alignment wrapText="1"/>
    </xf>
    <xf numFmtId="0" fontId="39" fillId="0" borderId="14" xfId="0" applyFont="1" applyBorder="1" applyAlignment="1">
      <alignment horizontal="left" wrapText="1"/>
    </xf>
    <xf numFmtId="0" fontId="48" fillId="0" borderId="19" xfId="0" applyFont="1" applyBorder="1" applyAlignment="1">
      <alignment horizontal="center" vertical="center" wrapText="1"/>
    </xf>
    <xf numFmtId="0" fontId="5" fillId="0" borderId="19" xfId="0" applyFont="1" applyBorder="1" applyAlignment="1">
      <alignment horizontal="center" vertical="center" wrapText="1"/>
    </xf>
    <xf numFmtId="0" fontId="39" fillId="0" borderId="14" xfId="0" applyFont="1" applyBorder="1" applyAlignment="1">
      <alignment wrapText="1"/>
    </xf>
    <xf numFmtId="0" fontId="39" fillId="0" borderId="14" xfId="0" applyFont="1" applyBorder="1" applyAlignment="1">
      <alignment horizontal="justify" vertical="center"/>
    </xf>
    <xf numFmtId="0" fontId="27" fillId="0" borderId="0" xfId="0" applyFont="1"/>
    <xf numFmtId="0" fontId="22" fillId="0" borderId="48" xfId="0" applyFont="1" applyBorder="1" applyAlignment="1">
      <alignment horizontal="left" vertical="center" wrapText="1"/>
    </xf>
    <xf numFmtId="0" fontId="22" fillId="0" borderId="45" xfId="0" applyFont="1" applyBorder="1" applyAlignment="1">
      <alignment horizontal="left" vertical="center" wrapText="1"/>
    </xf>
    <xf numFmtId="0" fontId="22" fillId="0" borderId="17" xfId="0" applyFont="1" applyBorder="1" applyAlignment="1">
      <alignment horizontal="left" vertical="center" wrapText="1"/>
    </xf>
    <xf numFmtId="0" fontId="3" fillId="0" borderId="0" xfId="0" applyFont="1" applyAlignment="1">
      <alignment wrapText="1"/>
    </xf>
    <xf numFmtId="0" fontId="3" fillId="0" borderId="19" xfId="0" applyFont="1" applyBorder="1" applyAlignment="1">
      <alignment horizontal="center" vertical="center" wrapText="1"/>
    </xf>
    <xf numFmtId="0" fontId="39" fillId="0" borderId="14" xfId="1" applyFont="1" applyFill="1" applyBorder="1" applyAlignment="1">
      <alignment horizontal="left" vertical="center" wrapText="1"/>
    </xf>
    <xf numFmtId="0" fontId="49" fillId="0" borderId="14" xfId="1" applyFont="1" applyFill="1" applyBorder="1" applyAlignment="1">
      <alignment horizontal="left" vertical="center" wrapText="1"/>
    </xf>
    <xf numFmtId="164" fontId="36" fillId="0" borderId="32" xfId="0" applyNumberFormat="1" applyFont="1" applyBorder="1" applyAlignment="1">
      <alignment horizontal="center" vertical="center"/>
    </xf>
    <xf numFmtId="10" fontId="36" fillId="0" borderId="34" xfId="0" applyNumberFormat="1" applyFont="1" applyBorder="1" applyAlignment="1">
      <alignment horizontal="center" vertical="center"/>
    </xf>
    <xf numFmtId="0" fontId="84" fillId="0" borderId="14" xfId="0" applyFont="1" applyBorder="1" applyAlignment="1">
      <alignment horizontal="center" vertical="center"/>
    </xf>
    <xf numFmtId="9" fontId="84" fillId="0" borderId="14" xfId="0" applyNumberFormat="1" applyFont="1" applyBorder="1" applyAlignment="1">
      <alignment horizontal="center" vertical="center"/>
    </xf>
    <xf numFmtId="0" fontId="35" fillId="11" borderId="14" xfId="0" applyFont="1" applyFill="1" applyBorder="1" applyAlignment="1">
      <alignment horizontal="left" vertical="center"/>
    </xf>
    <xf numFmtId="0" fontId="4" fillId="0" borderId="14" xfId="0" applyFont="1" applyBorder="1" applyAlignment="1">
      <alignment horizontal="center" vertical="center"/>
    </xf>
    <xf numFmtId="0" fontId="38" fillId="21" borderId="43" xfId="0" applyFont="1" applyFill="1" applyBorder="1" applyAlignment="1">
      <alignment horizontal="center" vertical="center" wrapText="1"/>
    </xf>
    <xf numFmtId="0" fontId="38" fillId="21" borderId="48" xfId="0" applyFont="1" applyFill="1" applyBorder="1" applyAlignment="1">
      <alignment horizontal="center" vertical="center" wrapText="1"/>
    </xf>
    <xf numFmtId="0" fontId="36" fillId="0" borderId="16" xfId="0" applyFont="1" applyBorder="1" applyAlignment="1">
      <alignment horizontal="center" vertical="center"/>
    </xf>
    <xf numFmtId="0" fontId="38" fillId="21" borderId="33" xfId="0" applyFont="1" applyFill="1" applyBorder="1" applyAlignment="1">
      <alignment horizontal="center" vertical="center" wrapText="1"/>
    </xf>
    <xf numFmtId="9" fontId="36" fillId="0" borderId="17" xfId="0" applyNumberFormat="1" applyFont="1" applyBorder="1" applyAlignment="1">
      <alignment horizontal="center" vertical="center"/>
    </xf>
    <xf numFmtId="0" fontId="72" fillId="2" borderId="14" xfId="0" applyFont="1" applyFill="1" applyBorder="1" applyAlignment="1">
      <alignment horizontal="center" vertical="center" wrapText="1"/>
    </xf>
    <xf numFmtId="10" fontId="39" fillId="16" borderId="14" xfId="2" applyNumberFormat="1" applyFont="1" applyFill="1" applyBorder="1" applyAlignment="1">
      <alignment horizontal="center" vertical="center"/>
    </xf>
    <xf numFmtId="0" fontId="17" fillId="9" borderId="0" xfId="0" applyFont="1" applyFill="1" applyAlignment="1">
      <alignment horizontal="left" vertical="top"/>
    </xf>
    <xf numFmtId="2" fontId="0" fillId="0" borderId="14" xfId="0" applyNumberFormat="1" applyBorder="1" applyAlignment="1">
      <alignment horizontal="center"/>
    </xf>
    <xf numFmtId="0" fontId="38" fillId="4" borderId="28" xfId="0" applyFont="1" applyFill="1" applyBorder="1" applyAlignment="1">
      <alignment horizontal="center" vertical="center" wrapText="1"/>
    </xf>
    <xf numFmtId="0" fontId="19" fillId="0" borderId="0" xfId="0" applyFont="1" applyAlignment="1">
      <alignment horizontal="right" vertical="center"/>
    </xf>
    <xf numFmtId="0" fontId="24" fillId="0" borderId="14" xfId="1" applyFill="1" applyBorder="1" applyAlignment="1">
      <alignment vertical="center"/>
    </xf>
    <xf numFmtId="0" fontId="24" fillId="0" borderId="14" xfId="1" applyFill="1" applyBorder="1" applyAlignment="1">
      <alignment vertical="center" wrapText="1"/>
    </xf>
    <xf numFmtId="0" fontId="24" fillId="0" borderId="14" xfId="1" applyFill="1" applyBorder="1" applyAlignment="1">
      <alignment horizontal="left" vertical="center"/>
    </xf>
    <xf numFmtId="9" fontId="36" fillId="25" borderId="14"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0" fontId="78" fillId="2" borderId="1" xfId="0" applyFont="1" applyFill="1" applyBorder="1" applyAlignment="1">
      <alignment horizontal="center" vertical="center" wrapText="1"/>
    </xf>
    <xf numFmtId="0" fontId="23" fillId="0" borderId="19" xfId="0" applyFont="1" applyBorder="1" applyAlignment="1">
      <alignment horizontal="center" vertical="center"/>
    </xf>
    <xf numFmtId="0" fontId="78" fillId="2" borderId="14" xfId="0" applyFont="1" applyFill="1" applyBorder="1" applyAlignment="1">
      <alignment horizontal="center" vertical="center" wrapText="1"/>
    </xf>
    <xf numFmtId="0" fontId="43" fillId="0" borderId="18" xfId="0" applyFont="1" applyBorder="1" applyAlignment="1">
      <alignment horizontal="center" vertical="center" wrapText="1"/>
    </xf>
    <xf numFmtId="0" fontId="43" fillId="0" borderId="32" xfId="0" applyFont="1" applyBorder="1" applyAlignment="1">
      <alignment horizontal="center" vertical="center" wrapText="1"/>
    </xf>
    <xf numFmtId="0" fontId="43" fillId="0" borderId="34" xfId="0" applyFont="1" applyBorder="1" applyAlignment="1">
      <alignment horizontal="center" vertical="center" wrapText="1"/>
    </xf>
    <xf numFmtId="0" fontId="39" fillId="18" borderId="14" xfId="0" applyFont="1" applyFill="1" applyBorder="1" applyAlignment="1">
      <alignment horizontal="center" vertical="center" wrapText="1"/>
    </xf>
    <xf numFmtId="0" fontId="43" fillId="18" borderId="18" xfId="0" applyFont="1" applyFill="1" applyBorder="1" applyAlignment="1">
      <alignment horizontal="center" vertical="center" wrapText="1"/>
    </xf>
    <xf numFmtId="0" fontId="87" fillId="0" borderId="17" xfId="0" applyFont="1" applyBorder="1" applyAlignment="1">
      <alignment horizontal="center" vertical="center"/>
    </xf>
    <xf numFmtId="0" fontId="66" fillId="22" borderId="32" xfId="0" applyFont="1" applyFill="1" applyBorder="1" applyAlignment="1">
      <alignment vertical="center"/>
    </xf>
    <xf numFmtId="0" fontId="67" fillId="5" borderId="17" xfId="0" applyFont="1" applyFill="1" applyBorder="1" applyAlignment="1">
      <alignment vertical="center" wrapText="1"/>
    </xf>
    <xf numFmtId="0" fontId="67" fillId="5" borderId="32" xfId="0" applyFont="1" applyFill="1" applyBorder="1" applyAlignment="1">
      <alignment horizontal="right" vertical="center"/>
    </xf>
    <xf numFmtId="0" fontId="66" fillId="22" borderId="32" xfId="0" applyFont="1" applyFill="1" applyBorder="1" applyAlignment="1">
      <alignment horizontal="right" vertical="center"/>
    </xf>
    <xf numFmtId="0" fontId="88" fillId="0" borderId="32" xfId="0" applyFont="1" applyBorder="1" applyAlignment="1">
      <alignment vertical="center"/>
    </xf>
    <xf numFmtId="0" fontId="67" fillId="5" borderId="0" xfId="0" applyFont="1" applyFill="1" applyAlignment="1">
      <alignment vertical="center" wrapText="1"/>
    </xf>
    <xf numFmtId="0" fontId="90" fillId="22" borderId="32" xfId="0" applyFont="1" applyFill="1" applyBorder="1" applyAlignment="1">
      <alignment horizontal="right" vertical="center" wrapText="1"/>
    </xf>
    <xf numFmtId="0" fontId="67" fillId="5" borderId="32" xfId="0" applyFont="1" applyFill="1" applyBorder="1" applyAlignment="1">
      <alignment vertical="center" wrapText="1"/>
    </xf>
    <xf numFmtId="2" fontId="4" fillId="0" borderId="14" xfId="0" applyNumberFormat="1" applyFont="1" applyBorder="1"/>
    <xf numFmtId="0" fontId="22" fillId="25" borderId="14" xfId="0" applyFont="1" applyFill="1" applyBorder="1" applyAlignment="1">
      <alignment horizontal="center" vertical="center" wrapText="1"/>
    </xf>
    <xf numFmtId="0" fontId="36" fillId="25" borderId="14" xfId="0" applyFont="1" applyFill="1" applyBorder="1" applyAlignment="1">
      <alignment horizontal="center" vertical="center" wrapText="1"/>
    </xf>
    <xf numFmtId="9" fontId="4" fillId="0" borderId="14" xfId="0" applyNumberFormat="1" applyFont="1" applyBorder="1" applyAlignment="1">
      <alignment horizontal="center" vertical="center"/>
    </xf>
    <xf numFmtId="9" fontId="33" fillId="0" borderId="14" xfId="2" applyFont="1" applyBorder="1" applyAlignment="1">
      <alignment horizontal="center" vertical="center"/>
    </xf>
    <xf numFmtId="9" fontId="33" fillId="0" borderId="14" xfId="0" applyNumberFormat="1" applyFont="1" applyBorder="1" applyAlignment="1">
      <alignment horizontal="center" vertical="center"/>
    </xf>
    <xf numFmtId="10" fontId="36" fillId="0" borderId="14" xfId="2" applyNumberFormat="1" applyFont="1" applyBorder="1" applyAlignment="1">
      <alignment horizontal="center" vertical="center" wrapText="1"/>
    </xf>
    <xf numFmtId="0" fontId="30" fillId="0" borderId="0" xfId="0" applyFont="1" applyAlignment="1">
      <alignment vertical="center"/>
    </xf>
    <xf numFmtId="1" fontId="0" fillId="0" borderId="14" xfId="0" applyNumberFormat="1" applyBorder="1" applyAlignment="1">
      <alignment horizontal="center"/>
    </xf>
    <xf numFmtId="1" fontId="20" fillId="0" borderId="14" xfId="0" applyNumberFormat="1" applyFont="1" applyBorder="1" applyAlignment="1">
      <alignment horizontal="center"/>
    </xf>
    <xf numFmtId="168" fontId="36" fillId="0" borderId="14" xfId="2" applyNumberFormat="1" applyFont="1" applyBorder="1" applyAlignment="1">
      <alignment horizontal="center" vertical="center" wrapText="1"/>
    </xf>
    <xf numFmtId="9" fontId="36" fillId="0" borderId="34" xfId="0" applyNumberFormat="1" applyFont="1" applyBorder="1" applyAlignment="1">
      <alignment horizontal="center" vertical="center"/>
    </xf>
    <xf numFmtId="0" fontId="39" fillId="0" borderId="14" xfId="0" applyFont="1" applyBorder="1" applyAlignment="1">
      <alignment horizontal="justify" vertical="center" wrapText="1"/>
    </xf>
    <xf numFmtId="0" fontId="0" fillId="0" borderId="14" xfId="2" applyNumberFormat="1" applyFont="1" applyBorder="1"/>
    <xf numFmtId="0" fontId="48" fillId="0" borderId="14" xfId="0" applyFont="1" applyBorder="1" applyAlignment="1">
      <alignment wrapText="1"/>
    </xf>
    <xf numFmtId="0" fontId="39" fillId="0" borderId="0" xfId="0" applyFont="1" applyAlignment="1">
      <alignment wrapText="1" shrinkToFit="1"/>
    </xf>
    <xf numFmtId="0" fontId="39" fillId="0" borderId="0" xfId="0" applyFont="1" applyAlignment="1">
      <alignment wrapText="1"/>
    </xf>
    <xf numFmtId="0" fontId="93" fillId="0" borderId="14" xfId="0" applyFont="1" applyBorder="1" applyAlignment="1">
      <alignment horizontal="justify" vertical="center"/>
    </xf>
    <xf numFmtId="0" fontId="92" fillId="7" borderId="14" xfId="0" applyFont="1" applyFill="1" applyBorder="1" applyAlignment="1">
      <alignment horizontal="center" wrapText="1"/>
    </xf>
    <xf numFmtId="0" fontId="24" fillId="0" borderId="14" xfId="1" applyFill="1" applyBorder="1" applyAlignment="1">
      <alignment wrapText="1"/>
    </xf>
    <xf numFmtId="0" fontId="43" fillId="25" borderId="17" xfId="0" applyFont="1" applyFill="1" applyBorder="1" applyAlignment="1">
      <alignment horizontal="center" vertical="center" wrapText="1"/>
    </xf>
    <xf numFmtId="0" fontId="14" fillId="0" borderId="3" xfId="0" applyFont="1" applyBorder="1"/>
    <xf numFmtId="0" fontId="14" fillId="0" borderId="2" xfId="0" applyFont="1" applyBorder="1"/>
    <xf numFmtId="0" fontId="58" fillId="0" borderId="0" xfId="0" applyFont="1"/>
    <xf numFmtId="0" fontId="14" fillId="0" borderId="5" xfId="0" applyFont="1" applyBorder="1"/>
    <xf numFmtId="0" fontId="14" fillId="0" borderId="8" xfId="0" applyFont="1" applyBorder="1"/>
    <xf numFmtId="0" fontId="14" fillId="0" borderId="7" xfId="0" applyFont="1" applyBorder="1"/>
    <xf numFmtId="9" fontId="36" fillId="0" borderId="17" xfId="2" applyFont="1" applyBorder="1" applyAlignment="1">
      <alignment horizontal="center" vertical="center"/>
    </xf>
    <xf numFmtId="1" fontId="22" fillId="0" borderId="14" xfId="0" applyNumberFormat="1" applyFont="1" applyBorder="1" applyAlignment="1">
      <alignment horizontal="center" vertical="center" wrapText="1"/>
    </xf>
    <xf numFmtId="10" fontId="22" fillId="0" borderId="14" xfId="2" applyNumberFormat="1" applyFont="1" applyBorder="1" applyAlignment="1">
      <alignment horizontal="center" vertical="center" wrapText="1"/>
    </xf>
    <xf numFmtId="10" fontId="13" fillId="24" borderId="14" xfId="2" applyNumberFormat="1" applyFont="1" applyFill="1" applyBorder="1" applyAlignment="1">
      <alignment horizontal="center"/>
    </xf>
    <xf numFmtId="0" fontId="23" fillId="3" borderId="10" xfId="0" applyFont="1" applyFill="1" applyBorder="1" applyAlignment="1">
      <alignment vertical="center" wrapText="1"/>
    </xf>
    <xf numFmtId="0" fontId="23" fillId="0" borderId="11" xfId="0" applyFont="1" applyBorder="1"/>
    <xf numFmtId="0" fontId="23" fillId="0" borderId="12" xfId="0" applyFont="1" applyBorder="1"/>
    <xf numFmtId="0" fontId="71" fillId="0" borderId="14" xfId="0" applyFont="1" applyBorder="1" applyAlignment="1">
      <alignment horizontal="left" vertical="center" wrapText="1"/>
    </xf>
    <xf numFmtId="0" fontId="47" fillId="0" borderId="0" xfId="0" applyFont="1" applyAlignment="1">
      <alignmen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23" fillId="0" borderId="0" xfId="0" applyFont="1" applyAlignment="1">
      <alignment vertical="center" wrapText="1"/>
    </xf>
    <xf numFmtId="0" fontId="0" fillId="0" borderId="0" xfId="0" applyAlignment="1">
      <alignment horizontal="center"/>
    </xf>
    <xf numFmtId="10" fontId="4" fillId="0" borderId="14" xfId="2" applyNumberFormat="1" applyFont="1" applyBorder="1" applyAlignment="1">
      <alignment horizontal="center" vertical="center"/>
    </xf>
    <xf numFmtId="10" fontId="23" fillId="0" borderId="14" xfId="2" applyNumberFormat="1" applyFont="1" applyBorder="1" applyAlignment="1">
      <alignment horizontal="center" vertical="center"/>
    </xf>
    <xf numFmtId="10" fontId="23" fillId="0" borderId="19" xfId="2" applyNumberFormat="1" applyFont="1" applyBorder="1" applyAlignment="1">
      <alignment horizontal="center" vertical="center"/>
    </xf>
    <xf numFmtId="10" fontId="22" fillId="0" borderId="14" xfId="2" applyNumberFormat="1" applyFont="1" applyBorder="1" applyAlignment="1">
      <alignment horizontal="center" vertical="center"/>
    </xf>
    <xf numFmtId="10" fontId="22" fillId="23" borderId="14" xfId="2" applyNumberFormat="1" applyFont="1" applyFill="1" applyBorder="1" applyAlignment="1">
      <alignment horizontal="center" vertical="center"/>
    </xf>
    <xf numFmtId="10" fontId="22" fillId="0" borderId="14" xfId="2" applyNumberFormat="1" applyFont="1" applyBorder="1" applyAlignment="1">
      <alignment vertical="center" wrapText="1"/>
    </xf>
    <xf numFmtId="10" fontId="36" fillId="0" borderId="0" xfId="2" applyNumberFormat="1" applyFont="1" applyAlignment="1">
      <alignment horizontal="center"/>
    </xf>
    <xf numFmtId="1" fontId="22" fillId="0" borderId="14" xfId="0" applyNumberFormat="1" applyFont="1" applyBorder="1" applyAlignment="1">
      <alignment horizontal="center"/>
    </xf>
    <xf numFmtId="1" fontId="22" fillId="0" borderId="14" xfId="3" applyNumberFormat="1" applyFont="1" applyBorder="1" applyAlignment="1">
      <alignment horizontal="center" wrapText="1"/>
    </xf>
    <xf numFmtId="1" fontId="43" fillId="0" borderId="18" xfId="0" applyNumberFormat="1" applyFont="1" applyBorder="1" applyAlignment="1">
      <alignment horizontal="center" vertical="center" wrapText="1"/>
    </xf>
    <xf numFmtId="1" fontId="43" fillId="0" borderId="32" xfId="0" applyNumberFormat="1" applyFont="1" applyBorder="1" applyAlignment="1">
      <alignment horizontal="center" vertical="center" wrapText="1"/>
    </xf>
    <xf numFmtId="1" fontId="22" fillId="0" borderId="24" xfId="0" applyNumberFormat="1" applyFont="1" applyBorder="1" applyAlignment="1">
      <alignment horizontal="center" vertical="center" wrapText="1"/>
    </xf>
    <xf numFmtId="1" fontId="43" fillId="0" borderId="34" xfId="0" applyNumberFormat="1" applyFont="1" applyBorder="1" applyAlignment="1">
      <alignment horizontal="center" vertical="center" wrapText="1"/>
    </xf>
    <xf numFmtId="1" fontId="22" fillId="24" borderId="14" xfId="0" applyNumberFormat="1" applyFont="1" applyFill="1" applyBorder="1" applyAlignment="1">
      <alignment horizontal="center" vertical="center" wrapText="1"/>
    </xf>
    <xf numFmtId="1" fontId="13" fillId="0" borderId="14" xfId="0" applyNumberFormat="1" applyFont="1" applyBorder="1" applyAlignment="1">
      <alignment horizontal="center"/>
    </xf>
    <xf numFmtId="1" fontId="22" fillId="0" borderId="21" xfId="0" applyNumberFormat="1" applyFont="1" applyBorder="1" applyAlignment="1">
      <alignment horizontal="center"/>
    </xf>
    <xf numFmtId="2" fontId="36" fillId="0" borderId="14" xfId="0" applyNumberFormat="1" applyFont="1" applyBorder="1" applyAlignment="1">
      <alignment horizontal="center" vertical="center" wrapText="1"/>
    </xf>
    <xf numFmtId="0" fontId="28" fillId="9" borderId="0" xfId="0" applyFont="1" applyFill="1" applyAlignment="1">
      <alignment vertical="top" wrapText="1"/>
    </xf>
    <xf numFmtId="1" fontId="22" fillId="0" borderId="14" xfId="0" applyNumberFormat="1" applyFont="1" applyBorder="1" applyAlignment="1">
      <alignment horizontal="center" vertical="center"/>
    </xf>
    <xf numFmtId="1" fontId="36" fillId="0" borderId="14" xfId="0" applyNumberFormat="1" applyFont="1" applyBorder="1" applyAlignment="1">
      <alignment horizontal="center" vertical="center" wrapText="1"/>
    </xf>
    <xf numFmtId="1" fontId="0" fillId="0" borderId="14" xfId="0" applyNumberFormat="1" applyBorder="1"/>
    <xf numFmtId="1" fontId="22" fillId="0" borderId="21" xfId="0" applyNumberFormat="1" applyFont="1" applyBorder="1" applyAlignment="1">
      <alignment horizontal="center" vertical="center"/>
    </xf>
    <xf numFmtId="0" fontId="35" fillId="11" borderId="9" xfId="0" applyFont="1" applyFill="1" applyBorder="1" applyAlignment="1">
      <alignment horizontal="left" vertical="center"/>
    </xf>
    <xf numFmtId="10" fontId="36" fillId="25" borderId="14" xfId="2" applyNumberFormat="1" applyFont="1" applyFill="1" applyBorder="1" applyAlignment="1">
      <alignment horizontal="center" vertical="center" wrapText="1"/>
    </xf>
    <xf numFmtId="10" fontId="22" fillId="5" borderId="14" xfId="2" applyNumberFormat="1" applyFont="1" applyFill="1" applyBorder="1" applyAlignment="1">
      <alignment horizontal="center" vertical="center"/>
    </xf>
    <xf numFmtId="1" fontId="36" fillId="0" borderId="14" xfId="0" applyNumberFormat="1" applyFont="1" applyBorder="1" applyAlignment="1">
      <alignment horizontal="center" vertical="center"/>
    </xf>
    <xf numFmtId="2" fontId="36" fillId="25" borderId="14" xfId="0" applyNumberFormat="1" applyFont="1" applyFill="1" applyBorder="1" applyAlignment="1">
      <alignment horizontal="center" vertical="center" wrapText="1"/>
    </xf>
    <xf numFmtId="2" fontId="36" fillId="9" borderId="14" xfId="0" applyNumberFormat="1" applyFont="1" applyFill="1" applyBorder="1" applyAlignment="1">
      <alignment horizontal="center" vertical="center" wrapText="1"/>
    </xf>
    <xf numFmtId="1" fontId="22" fillId="0" borderId="32" xfId="0" applyNumberFormat="1" applyFont="1" applyBorder="1" applyAlignment="1">
      <alignment horizontal="center" vertical="center" wrapText="1"/>
    </xf>
    <xf numFmtId="1" fontId="36" fillId="0" borderId="17" xfId="0" applyNumberFormat="1" applyFont="1" applyBorder="1" applyAlignment="1">
      <alignment horizontal="center" vertical="center" wrapText="1"/>
    </xf>
    <xf numFmtId="1" fontId="27" fillId="0" borderId="32" xfId="0" applyNumberFormat="1" applyFont="1" applyBorder="1" applyAlignment="1">
      <alignment horizontal="center" vertical="center" wrapText="1"/>
    </xf>
    <xf numFmtId="10" fontId="22" fillId="0" borderId="34" xfId="2" applyNumberFormat="1" applyFont="1" applyBorder="1" applyAlignment="1">
      <alignment horizontal="center" vertical="center" wrapText="1"/>
    </xf>
    <xf numFmtId="10" fontId="22" fillId="0" borderId="57" xfId="2" applyNumberFormat="1" applyFont="1" applyBorder="1" applyAlignment="1">
      <alignment horizontal="center" vertical="center" wrapText="1"/>
    </xf>
    <xf numFmtId="1" fontId="38" fillId="0" borderId="17" xfId="0" applyNumberFormat="1" applyFont="1" applyBorder="1" applyAlignment="1">
      <alignment horizontal="center" vertical="center" wrapText="1"/>
    </xf>
    <xf numFmtId="0" fontId="99" fillId="22" borderId="14" xfId="0" applyFont="1" applyFill="1" applyBorder="1" applyAlignment="1">
      <alignment horizontal="center" vertical="center" wrapText="1"/>
    </xf>
    <xf numFmtId="0" fontId="100" fillId="5" borderId="14" xfId="0" applyFont="1" applyFill="1" applyBorder="1" applyAlignment="1">
      <alignment horizontal="center" vertical="center" wrapText="1"/>
    </xf>
    <xf numFmtId="0" fontId="99" fillId="7" borderId="14" xfId="0" applyFont="1" applyFill="1" applyBorder="1" applyAlignment="1">
      <alignment horizontal="center" vertical="center" wrapText="1"/>
    </xf>
    <xf numFmtId="2" fontId="66" fillId="0" borderId="14" xfId="0" applyNumberFormat="1" applyFont="1" applyBorder="1" applyAlignment="1">
      <alignment horizontal="center" vertical="center" wrapText="1"/>
    </xf>
    <xf numFmtId="2" fontId="66" fillId="7" borderId="14" xfId="0" applyNumberFormat="1" applyFont="1" applyFill="1" applyBorder="1" applyAlignment="1">
      <alignment horizontal="center" vertical="center" wrapText="1"/>
    </xf>
    <xf numFmtId="1" fontId="66" fillId="0" borderId="14" xfId="0" applyNumberFormat="1" applyFont="1" applyBorder="1" applyAlignment="1">
      <alignment horizontal="center" vertical="center" wrapText="1"/>
    </xf>
    <xf numFmtId="10" fontId="4" fillId="7" borderId="14" xfId="2" applyNumberFormat="1" applyFont="1" applyFill="1" applyBorder="1" applyAlignment="1">
      <alignment horizontal="center"/>
    </xf>
    <xf numFmtId="0" fontId="35" fillId="11" borderId="1" xfId="0" applyFont="1" applyFill="1" applyBorder="1" applyAlignment="1">
      <alignment horizontal="left" vertical="center"/>
    </xf>
    <xf numFmtId="0" fontId="35" fillId="11" borderId="3" xfId="0" applyFont="1" applyFill="1" applyBorder="1" applyAlignment="1">
      <alignment horizontal="left" vertical="center"/>
    </xf>
    <xf numFmtId="0" fontId="35" fillId="11" borderId="2" xfId="0" applyFont="1" applyFill="1" applyBorder="1" applyAlignment="1">
      <alignment horizontal="left" vertical="center"/>
    </xf>
    <xf numFmtId="10" fontId="0" fillId="0" borderId="14" xfId="2" applyNumberFormat="1" applyFont="1" applyBorder="1"/>
    <xf numFmtId="10" fontId="101" fillId="0" borderId="14" xfId="2" applyNumberFormat="1" applyFont="1" applyBorder="1"/>
    <xf numFmtId="1" fontId="0" fillId="0" borderId="14" xfId="0" applyNumberFormat="1" applyBorder="1" applyAlignment="1">
      <alignment horizontal="center" vertical="center"/>
    </xf>
    <xf numFmtId="10" fontId="0" fillId="7" borderId="14" xfId="2" applyNumberFormat="1" applyFont="1" applyFill="1" applyBorder="1" applyAlignment="1">
      <alignment horizontal="center"/>
    </xf>
    <xf numFmtId="0" fontId="87" fillId="0" borderId="16" xfId="0" applyFont="1" applyBorder="1" applyAlignment="1">
      <alignment horizontal="center" vertical="center"/>
    </xf>
    <xf numFmtId="0" fontId="67" fillId="5" borderId="16" xfId="0" applyFont="1" applyFill="1" applyBorder="1" applyAlignment="1">
      <alignment vertical="center" wrapText="1"/>
    </xf>
    <xf numFmtId="0" fontId="0" fillId="0" borderId="16" xfId="0" applyBorder="1"/>
    <xf numFmtId="10" fontId="0" fillId="0" borderId="16" xfId="2" applyNumberFormat="1" applyFont="1" applyBorder="1"/>
    <xf numFmtId="0" fontId="41" fillId="0" borderId="0" xfId="0" applyFont="1" applyAlignment="1">
      <alignment horizontal="center" vertical="top" wrapText="1"/>
    </xf>
    <xf numFmtId="0" fontId="41" fillId="0" borderId="36" xfId="0" applyFont="1" applyBorder="1" applyAlignment="1">
      <alignment horizontal="center" vertical="top" wrapText="1"/>
    </xf>
    <xf numFmtId="0" fontId="41" fillId="0" borderId="28" xfId="0" applyFont="1" applyBorder="1" applyAlignment="1">
      <alignment horizontal="center" vertical="top" wrapText="1"/>
    </xf>
    <xf numFmtId="0" fontId="41" fillId="0" borderId="47" xfId="0" applyFont="1" applyBorder="1" applyAlignment="1">
      <alignment horizontal="center" vertical="top" wrapText="1"/>
    </xf>
    <xf numFmtId="0" fontId="41" fillId="0" borderId="29" xfId="0" applyFont="1" applyBorder="1" applyAlignment="1">
      <alignment horizontal="center" vertical="top" wrapText="1"/>
    </xf>
    <xf numFmtId="0" fontId="41" fillId="0" borderId="22" xfId="0" applyFont="1" applyBorder="1" applyAlignment="1">
      <alignment horizontal="center" vertical="top" wrapText="1"/>
    </xf>
    <xf numFmtId="0" fontId="41" fillId="0" borderId="23" xfId="0" applyFont="1" applyBorder="1" applyAlignment="1">
      <alignment horizontal="center" vertical="top" wrapText="1"/>
    </xf>
    <xf numFmtId="0" fontId="41" fillId="0" borderId="49" xfId="0" applyFont="1" applyBorder="1" applyAlignment="1">
      <alignment horizontal="center" vertical="top" wrapText="1"/>
    </xf>
    <xf numFmtId="0" fontId="41" fillId="0" borderId="37" xfId="0" applyFont="1" applyBorder="1" applyAlignment="1">
      <alignment horizontal="center" vertical="top" wrapText="1"/>
    </xf>
    <xf numFmtId="2" fontId="36" fillId="0" borderId="14" xfId="0" applyNumberFormat="1" applyFont="1" applyBorder="1" applyAlignment="1">
      <alignment horizontal="center" vertical="center"/>
    </xf>
    <xf numFmtId="0" fontId="66" fillId="0" borderId="32" xfId="0" applyFont="1" applyBorder="1" applyAlignment="1">
      <alignment vertical="center"/>
    </xf>
    <xf numFmtId="0" fontId="67" fillId="0" borderId="32" xfId="0" applyFont="1" applyBorder="1" applyAlignment="1">
      <alignment vertical="center" wrapText="1"/>
    </xf>
    <xf numFmtId="0" fontId="90" fillId="22" borderId="16" xfId="0" applyFont="1" applyFill="1" applyBorder="1" applyAlignment="1">
      <alignment horizontal="center" vertical="center" wrapText="1"/>
    </xf>
    <xf numFmtId="10" fontId="88" fillId="25" borderId="16" xfId="2" applyNumberFormat="1" applyFont="1" applyFill="1" applyBorder="1" applyAlignment="1">
      <alignment horizontal="right" vertical="center"/>
    </xf>
    <xf numFmtId="10" fontId="88" fillId="0" borderId="16" xfId="2" applyNumberFormat="1" applyFont="1" applyBorder="1" applyAlignment="1">
      <alignment horizontal="right" vertical="center"/>
    </xf>
    <xf numFmtId="10" fontId="89" fillId="25" borderId="16" xfId="2" applyNumberFormat="1" applyFont="1" applyFill="1" applyBorder="1" applyAlignment="1">
      <alignment horizontal="right" vertical="center"/>
    </xf>
    <xf numFmtId="10" fontId="89" fillId="32" borderId="16" xfId="2" applyNumberFormat="1" applyFont="1" applyFill="1" applyBorder="1" applyAlignment="1">
      <alignment horizontal="right" vertical="center"/>
    </xf>
    <xf numFmtId="0" fontId="67" fillId="5" borderId="0" xfId="0" applyFont="1" applyFill="1" applyAlignment="1">
      <alignment horizontal="right" vertical="center"/>
    </xf>
    <xf numFmtId="10" fontId="88" fillId="0" borderId="0" xfId="2" applyNumberFormat="1" applyFont="1" applyBorder="1" applyAlignment="1">
      <alignment horizontal="right" vertical="center"/>
    </xf>
    <xf numFmtId="10" fontId="20" fillId="0" borderId="0" xfId="2" applyNumberFormat="1" applyFont="1" applyBorder="1"/>
    <xf numFmtId="0" fontId="66" fillId="22" borderId="16" xfId="0" applyFont="1" applyFill="1" applyBorder="1" applyAlignment="1">
      <alignment vertical="center"/>
    </xf>
    <xf numFmtId="0" fontId="66" fillId="22" borderId="16" xfId="0" applyFont="1" applyFill="1" applyBorder="1" applyAlignment="1">
      <alignment horizontal="right" vertical="center"/>
    </xf>
    <xf numFmtId="0" fontId="67" fillId="5" borderId="16" xfId="0" applyFont="1" applyFill="1" applyBorder="1" applyAlignment="1">
      <alignment horizontal="right" vertical="center"/>
    </xf>
    <xf numFmtId="10" fontId="43" fillId="0" borderId="14" xfId="2" applyNumberFormat="1" applyFont="1" applyBorder="1" applyAlignment="1">
      <alignment horizontal="center" vertical="center"/>
    </xf>
    <xf numFmtId="10" fontId="36" fillId="0" borderId="14" xfId="2" applyNumberFormat="1" applyFont="1" applyBorder="1" applyAlignment="1">
      <alignment horizontal="center" vertical="center"/>
    </xf>
    <xf numFmtId="10" fontId="33" fillId="0" borderId="21" xfId="2" applyNumberFormat="1" applyFont="1" applyBorder="1" applyAlignment="1">
      <alignment vertical="center"/>
    </xf>
    <xf numFmtId="167" fontId="39" fillId="0" borderId="14" xfId="2" applyNumberFormat="1" applyFont="1" applyBorder="1" applyAlignment="1">
      <alignment horizontal="center" vertical="center" wrapText="1"/>
    </xf>
    <xf numFmtId="10" fontId="22" fillId="0" borderId="14" xfId="2" applyNumberFormat="1" applyFont="1" applyFill="1" applyBorder="1" applyAlignment="1">
      <alignment horizontal="center" vertical="center" wrapText="1"/>
    </xf>
    <xf numFmtId="1" fontId="0" fillId="0" borderId="14" xfId="2" applyNumberFormat="1" applyFont="1" applyBorder="1" applyAlignment="1">
      <alignment horizontal="center"/>
    </xf>
    <xf numFmtId="2" fontId="44" fillId="0" borderId="14" xfId="0" applyNumberFormat="1" applyFont="1" applyBorder="1" applyAlignment="1">
      <alignment horizontal="center" vertical="center" wrapText="1"/>
    </xf>
    <xf numFmtId="2" fontId="31" fillId="0" borderId="14" xfId="0" applyNumberFormat="1" applyFont="1" applyBorder="1" applyAlignment="1">
      <alignment horizontal="center" vertical="center" wrapText="1"/>
    </xf>
    <xf numFmtId="2" fontId="45" fillId="0" borderId="14" xfId="0" applyNumberFormat="1" applyFont="1" applyBorder="1" applyAlignment="1">
      <alignment horizontal="center" vertical="center" wrapText="1"/>
    </xf>
    <xf numFmtId="2" fontId="22" fillId="18" borderId="14" xfId="0" applyNumberFormat="1" applyFont="1" applyFill="1" applyBorder="1" applyAlignment="1">
      <alignment horizontal="center" vertical="center" wrapText="1"/>
    </xf>
    <xf numFmtId="2" fontId="22" fillId="9" borderId="14" xfId="0" applyNumberFormat="1" applyFont="1" applyFill="1" applyBorder="1" applyAlignment="1">
      <alignment horizontal="center" vertical="center" wrapText="1"/>
    </xf>
    <xf numFmtId="2" fontId="22" fillId="0" borderId="0" xfId="0" applyNumberFormat="1" applyFont="1" applyAlignment="1">
      <alignment horizontal="center" vertical="center" wrapText="1"/>
    </xf>
    <xf numFmtId="4" fontId="36" fillId="0" borderId="14" xfId="0" applyNumberFormat="1" applyFont="1" applyBorder="1" applyAlignment="1">
      <alignment horizontal="center" vertical="center" wrapText="1"/>
    </xf>
    <xf numFmtId="2" fontId="20" fillId="0" borderId="14" xfId="0" applyNumberFormat="1" applyFont="1" applyBorder="1"/>
    <xf numFmtId="0" fontId="36" fillId="9" borderId="14" xfId="0" applyFont="1" applyFill="1" applyBorder="1" applyAlignment="1">
      <alignment horizontal="center" vertical="center" wrapText="1"/>
    </xf>
    <xf numFmtId="2" fontId="22" fillId="5" borderId="14" xfId="0" applyNumberFormat="1" applyFont="1" applyFill="1" applyBorder="1" applyAlignment="1">
      <alignment horizontal="center" vertical="center" wrapText="1"/>
    </xf>
    <xf numFmtId="2" fontId="22" fillId="5" borderId="14" xfId="0" applyNumberFormat="1" applyFont="1" applyFill="1" applyBorder="1" applyAlignment="1">
      <alignment horizontal="center" vertical="center"/>
    </xf>
    <xf numFmtId="2" fontId="36" fillId="30" borderId="14" xfId="0" applyNumberFormat="1" applyFont="1" applyFill="1" applyBorder="1" applyAlignment="1">
      <alignment horizontal="center" vertical="center" wrapText="1"/>
    </xf>
    <xf numFmtId="2" fontId="36" fillId="5" borderId="14" xfId="0" applyNumberFormat="1" applyFont="1" applyFill="1" applyBorder="1" applyAlignment="1">
      <alignment horizontal="center" vertical="center" wrapText="1"/>
    </xf>
    <xf numFmtId="1" fontId="20" fillId="0" borderId="14" xfId="0" applyNumberFormat="1" applyFont="1" applyBorder="1"/>
    <xf numFmtId="10" fontId="36" fillId="14" borderId="14" xfId="2" applyNumberFormat="1" applyFont="1" applyFill="1" applyBorder="1" applyAlignment="1">
      <alignment vertical="center" wrapText="1"/>
    </xf>
    <xf numFmtId="10" fontId="4" fillId="0" borderId="14" xfId="2" applyNumberFormat="1" applyFont="1" applyBorder="1" applyAlignment="1">
      <alignment vertical="center"/>
    </xf>
    <xf numFmtId="10" fontId="4" fillId="25" borderId="14" xfId="2" applyNumberFormat="1" applyFont="1" applyFill="1" applyBorder="1" applyAlignment="1">
      <alignment vertical="center"/>
    </xf>
    <xf numFmtId="10" fontId="18" fillId="12" borderId="14" xfId="2" applyNumberFormat="1" applyFont="1" applyFill="1" applyBorder="1" applyAlignment="1">
      <alignment vertical="center"/>
    </xf>
    <xf numFmtId="49" fontId="18" fillId="12" borderId="14" xfId="0" applyNumberFormat="1" applyFont="1" applyFill="1" applyBorder="1" applyAlignment="1">
      <alignment vertical="center"/>
    </xf>
    <xf numFmtId="49" fontId="36" fillId="14" borderId="14" xfId="0" applyNumberFormat="1" applyFont="1" applyFill="1" applyBorder="1" applyAlignment="1">
      <alignment vertical="center" wrapText="1"/>
    </xf>
    <xf numFmtId="1" fontId="0" fillId="14" borderId="14" xfId="0" applyNumberFormat="1" applyFill="1" applyBorder="1"/>
    <xf numFmtId="1" fontId="20" fillId="13" borderId="14" xfId="0" applyNumberFormat="1" applyFont="1" applyFill="1" applyBorder="1"/>
    <xf numFmtId="1" fontId="0" fillId="13" borderId="14" xfId="0" applyNumberFormat="1" applyFill="1" applyBorder="1"/>
    <xf numFmtId="10" fontId="18" fillId="12" borderId="14" xfId="2" applyNumberFormat="1" applyFont="1" applyFill="1" applyBorder="1" applyAlignment="1">
      <alignment vertical="center" wrapText="1"/>
    </xf>
    <xf numFmtId="49" fontId="18" fillId="12" borderId="14" xfId="0" applyNumberFormat="1" applyFont="1" applyFill="1" applyBorder="1" applyAlignment="1">
      <alignment vertical="center" wrapText="1"/>
    </xf>
    <xf numFmtId="10" fontId="0" fillId="14" borderId="14" xfId="2" applyNumberFormat="1" applyFont="1" applyFill="1" applyBorder="1"/>
    <xf numFmtId="1" fontId="0" fillId="0" borderId="19" xfId="0" applyNumberFormat="1" applyBorder="1"/>
    <xf numFmtId="10" fontId="22" fillId="25" borderId="14" xfId="2" applyNumberFormat="1" applyFont="1" applyFill="1" applyBorder="1" applyAlignment="1">
      <alignment vertical="center" wrapText="1"/>
    </xf>
    <xf numFmtId="0" fontId="22" fillId="0" borderId="14" xfId="0" applyFont="1" applyBorder="1" applyAlignment="1">
      <alignment horizontal="left" vertical="center"/>
    </xf>
    <xf numFmtId="10" fontId="33" fillId="0" borderId="0" xfId="2" applyNumberFormat="1" applyFont="1" applyBorder="1" applyAlignment="1">
      <alignment vertical="center"/>
    </xf>
    <xf numFmtId="0" fontId="8" fillId="3" borderId="0" xfId="0" applyFont="1" applyFill="1" applyAlignment="1">
      <alignment vertical="center" wrapText="1"/>
    </xf>
    <xf numFmtId="0" fontId="8" fillId="0" borderId="0" xfId="0" applyFont="1" applyAlignment="1">
      <alignment vertical="center" wrapText="1"/>
    </xf>
    <xf numFmtId="10" fontId="30" fillId="5" borderId="14" xfId="2" applyNumberFormat="1" applyFont="1" applyFill="1" applyBorder="1" applyAlignment="1">
      <alignment horizontal="center" vertical="center"/>
    </xf>
    <xf numFmtId="10" fontId="39" fillId="5" borderId="14" xfId="2" applyNumberFormat="1" applyFont="1" applyFill="1" applyBorder="1" applyAlignment="1">
      <alignment horizontal="center" vertical="center"/>
    </xf>
    <xf numFmtId="10" fontId="68" fillId="5" borderId="14" xfId="2" applyNumberFormat="1" applyFont="1" applyFill="1" applyBorder="1" applyAlignment="1">
      <alignment horizontal="center" vertical="center"/>
    </xf>
    <xf numFmtId="10" fontId="22" fillId="31" borderId="14" xfId="2" applyNumberFormat="1" applyFont="1" applyFill="1" applyBorder="1" applyAlignment="1">
      <alignment horizontal="center" vertical="center"/>
    </xf>
    <xf numFmtId="2" fontId="43" fillId="0" borderId="14" xfId="0" applyNumberFormat="1" applyFont="1" applyBorder="1" applyAlignment="1">
      <alignment horizontal="center" vertical="center" wrapText="1"/>
    </xf>
    <xf numFmtId="2" fontId="39" fillId="0" borderId="14" xfId="0" applyNumberFormat="1" applyFont="1" applyBorder="1" applyAlignment="1">
      <alignment horizontal="center" vertical="center" wrapText="1"/>
    </xf>
    <xf numFmtId="0" fontId="66" fillId="16" borderId="17" xfId="0" applyFont="1" applyFill="1" applyBorder="1" applyAlignment="1">
      <alignment vertical="center"/>
    </xf>
    <xf numFmtId="0" fontId="67" fillId="16" borderId="16" xfId="0" applyFont="1" applyFill="1" applyBorder="1" applyAlignment="1">
      <alignment vertical="center" wrapText="1"/>
    </xf>
    <xf numFmtId="0" fontId="20" fillId="16" borderId="16" xfId="0" applyFont="1" applyFill="1" applyBorder="1"/>
    <xf numFmtId="0" fontId="91" fillId="16" borderId="16" xfId="0" applyFont="1" applyFill="1" applyBorder="1" applyAlignment="1">
      <alignment horizontal="center" vertical="center"/>
    </xf>
    <xf numFmtId="0" fontId="20" fillId="16" borderId="16" xfId="0" applyFont="1" applyFill="1" applyBorder="1" applyAlignment="1">
      <alignment wrapText="1"/>
    </xf>
    <xf numFmtId="9" fontId="0" fillId="0" borderId="16" xfId="2" applyFont="1" applyBorder="1" applyAlignment="1">
      <alignment vertical="center"/>
    </xf>
    <xf numFmtId="0" fontId="91" fillId="16" borderId="14" xfId="0" applyFont="1" applyFill="1" applyBorder="1"/>
    <xf numFmtId="10" fontId="43" fillId="0" borderId="14" xfId="2" applyNumberFormat="1" applyFont="1" applyFill="1" applyBorder="1" applyAlignment="1">
      <alignment horizontal="center" vertical="center" wrapText="1"/>
    </xf>
    <xf numFmtId="10" fontId="74" fillId="0" borderId="14" xfId="2" applyNumberFormat="1" applyFont="1" applyFill="1" applyBorder="1" applyAlignment="1">
      <alignment horizontal="center" vertical="center" wrapText="1"/>
    </xf>
    <xf numFmtId="10" fontId="43" fillId="0" borderId="24" xfId="2" applyNumberFormat="1" applyFont="1" applyFill="1" applyBorder="1" applyAlignment="1">
      <alignment horizontal="center" vertical="center" wrapText="1"/>
    </xf>
    <xf numFmtId="10" fontId="36" fillId="9" borderId="14" xfId="2" applyNumberFormat="1" applyFont="1" applyFill="1" applyBorder="1" applyAlignment="1">
      <alignment horizontal="center" vertical="center" wrapText="1"/>
    </xf>
    <xf numFmtId="10" fontId="36" fillId="33" borderId="14" xfId="2" applyNumberFormat="1" applyFont="1" applyFill="1" applyBorder="1" applyAlignment="1">
      <alignment horizontal="center" vertical="center" wrapText="1"/>
    </xf>
    <xf numFmtId="10" fontId="36" fillId="0" borderId="14" xfId="2" applyNumberFormat="1" applyFont="1" applyFill="1" applyBorder="1" applyAlignment="1">
      <alignment horizontal="center" vertical="center" wrapText="1"/>
    </xf>
    <xf numFmtId="10" fontId="39" fillId="0" borderId="14" xfId="2" applyNumberFormat="1" applyFont="1" applyFill="1" applyBorder="1" applyAlignment="1">
      <alignment horizontal="center" vertical="center" wrapText="1"/>
    </xf>
    <xf numFmtId="2" fontId="40" fillId="0" borderId="14" xfId="0" applyNumberFormat="1" applyFont="1" applyBorder="1" applyAlignment="1">
      <alignment horizontal="center" vertical="center"/>
    </xf>
    <xf numFmtId="0" fontId="66" fillId="0" borderId="32" xfId="0" applyFont="1" applyBorder="1" applyAlignment="1">
      <alignment horizontal="right" vertical="center"/>
    </xf>
    <xf numFmtId="10" fontId="89" fillId="0" borderId="16" xfId="2" applyNumberFormat="1" applyFont="1" applyFill="1" applyBorder="1" applyAlignment="1">
      <alignment horizontal="right" vertical="center"/>
    </xf>
    <xf numFmtId="10" fontId="20" fillId="0" borderId="16" xfId="2" applyNumberFormat="1" applyFont="1" applyFill="1" applyBorder="1"/>
    <xf numFmtId="10" fontId="88" fillId="0" borderId="16" xfId="2" applyNumberFormat="1" applyFont="1" applyFill="1" applyBorder="1" applyAlignment="1">
      <alignment horizontal="right" vertical="center"/>
    </xf>
    <xf numFmtId="0" fontId="36" fillId="0" borderId="19" xfId="0" applyFont="1" applyBorder="1" applyAlignment="1">
      <alignment horizontal="center" vertical="center" wrapText="1"/>
    </xf>
    <xf numFmtId="0" fontId="102" fillId="0" borderId="0" xfId="0" applyFont="1" applyAlignment="1">
      <alignment vertical="center"/>
    </xf>
    <xf numFmtId="0" fontId="43" fillId="0" borderId="19" xfId="0" applyFont="1" applyBorder="1" applyAlignment="1">
      <alignment horizontal="center" vertical="center" wrapText="1"/>
    </xf>
    <xf numFmtId="0" fontId="36" fillId="0" borderId="49" xfId="0" applyFont="1" applyBorder="1" applyAlignment="1">
      <alignment horizontal="center" vertical="center" wrapText="1"/>
    </xf>
    <xf numFmtId="9" fontId="36" fillId="0" borderId="19" xfId="0" applyNumberFormat="1" applyFont="1" applyBorder="1" applyAlignment="1">
      <alignment horizontal="center" vertical="center" wrapText="1"/>
    </xf>
    <xf numFmtId="0" fontId="38" fillId="4" borderId="51" xfId="0" applyFont="1" applyFill="1" applyBorder="1" applyAlignment="1">
      <alignment horizontal="center" vertical="center" wrapText="1"/>
    </xf>
    <xf numFmtId="10" fontId="0" fillId="0" borderId="14" xfId="0" applyNumberFormat="1" applyBorder="1"/>
    <xf numFmtId="0" fontId="36" fillId="5" borderId="18" xfId="0" applyFont="1" applyFill="1" applyBorder="1" applyAlignment="1">
      <alignment horizontal="center" vertical="center" wrapText="1"/>
    </xf>
    <xf numFmtId="9" fontId="36" fillId="5" borderId="32" xfId="0" applyNumberFormat="1" applyFont="1" applyFill="1" applyBorder="1" applyAlignment="1">
      <alignment horizontal="center" vertical="center" wrapText="1"/>
    </xf>
    <xf numFmtId="1" fontId="36" fillId="0" borderId="19" xfId="0" applyNumberFormat="1" applyFont="1" applyBorder="1" applyAlignment="1">
      <alignment horizontal="center" vertical="center" wrapText="1"/>
    </xf>
    <xf numFmtId="1" fontId="22" fillId="0" borderId="19" xfId="0" applyNumberFormat="1" applyFont="1" applyBorder="1" applyAlignment="1">
      <alignment horizontal="center" vertical="center" wrapText="1"/>
    </xf>
    <xf numFmtId="0" fontId="36" fillId="25" borderId="17" xfId="0" applyFont="1" applyFill="1" applyBorder="1" applyAlignment="1">
      <alignment horizontal="center" vertical="center" wrapText="1"/>
    </xf>
    <xf numFmtId="0" fontId="24" fillId="0" borderId="0" xfId="1" applyAlignment="1">
      <alignment vertical="center"/>
    </xf>
    <xf numFmtId="0" fontId="38" fillId="0" borderId="32" xfId="0" applyFont="1" applyBorder="1" applyAlignment="1">
      <alignment horizontal="center" vertical="center"/>
    </xf>
    <xf numFmtId="0" fontId="88" fillId="0" borderId="32" xfId="0" applyFont="1" applyBorder="1" applyAlignment="1">
      <alignment horizontal="center" vertical="center"/>
    </xf>
    <xf numFmtId="10" fontId="12" fillId="0" borderId="17" xfId="0" applyNumberFormat="1" applyFont="1" applyBorder="1" applyAlignment="1">
      <alignment horizontal="center" vertical="center"/>
    </xf>
    <xf numFmtId="0" fontId="47" fillId="11" borderId="10" xfId="0" applyFont="1" applyFill="1" applyBorder="1" applyAlignment="1">
      <alignment horizontal="left" vertical="center"/>
    </xf>
    <xf numFmtId="0" fontId="47" fillId="11" borderId="10" xfId="0" applyFont="1" applyFill="1" applyBorder="1" applyAlignment="1">
      <alignment horizontal="left" vertical="center" wrapText="1"/>
    </xf>
    <xf numFmtId="0" fontId="27" fillId="21" borderId="18" xfId="0" applyFont="1" applyFill="1" applyBorder="1" applyAlignment="1">
      <alignment horizontal="center" vertical="center"/>
    </xf>
    <xf numFmtId="164" fontId="22" fillId="0" borderId="32" xfId="0" applyNumberFormat="1" applyFont="1" applyBorder="1" applyAlignment="1">
      <alignment horizontal="center" vertical="center"/>
    </xf>
    <xf numFmtId="9" fontId="22" fillId="0" borderId="32" xfId="0" applyNumberFormat="1" applyFont="1" applyBorder="1" applyAlignment="1">
      <alignment horizontal="center" vertical="center"/>
    </xf>
    <xf numFmtId="0" fontId="36" fillId="4" borderId="32" xfId="0" applyFont="1" applyFill="1" applyBorder="1" applyAlignment="1">
      <alignment horizontal="right" vertical="center" wrapText="1"/>
    </xf>
    <xf numFmtId="10" fontId="36" fillId="4" borderId="32" xfId="0" applyNumberFormat="1" applyFont="1" applyFill="1" applyBorder="1" applyAlignment="1">
      <alignment horizontal="right" vertical="center" wrapText="1"/>
    </xf>
    <xf numFmtId="0" fontId="88" fillId="0" borderId="32" xfId="0" applyFont="1" applyBorder="1" applyAlignment="1">
      <alignment horizontal="center" vertical="center" wrapText="1"/>
    </xf>
    <xf numFmtId="9" fontId="8" fillId="0" borderId="32" xfId="0" applyNumberFormat="1" applyFont="1" applyBorder="1" applyAlignment="1">
      <alignment horizontal="center" vertical="center" wrapText="1"/>
    </xf>
    <xf numFmtId="0" fontId="23" fillId="9" borderId="0" xfId="0" applyFont="1" applyFill="1" applyAlignment="1">
      <alignment horizontal="left" vertical="center"/>
    </xf>
    <xf numFmtId="0" fontId="78" fillId="34" borderId="13" xfId="0" applyFont="1" applyFill="1" applyBorder="1" applyAlignment="1">
      <alignment horizontal="center" vertical="center" wrapText="1"/>
    </xf>
    <xf numFmtId="0" fontId="78" fillId="34" borderId="1" xfId="0" applyFont="1" applyFill="1" applyBorder="1" applyAlignment="1">
      <alignment horizontal="center" vertical="center" wrapText="1"/>
    </xf>
    <xf numFmtId="0" fontId="82" fillId="9" borderId="14" xfId="0" applyFont="1" applyFill="1" applyBorder="1" applyAlignment="1">
      <alignment horizontal="center" vertical="center"/>
    </xf>
    <xf numFmtId="0" fontId="23" fillId="9" borderId="14" xfId="0" applyFont="1" applyFill="1" applyBorder="1" applyAlignment="1">
      <alignment horizontal="center" vertical="center"/>
    </xf>
    <xf numFmtId="0" fontId="22" fillId="9" borderId="14" xfId="0" applyFont="1" applyFill="1" applyBorder="1" applyAlignment="1">
      <alignment horizontal="center" vertical="center"/>
    </xf>
    <xf numFmtId="10" fontId="23" fillId="9" borderId="14" xfId="2" applyNumberFormat="1" applyFont="1" applyFill="1" applyBorder="1" applyAlignment="1">
      <alignment horizontal="center" vertical="center"/>
    </xf>
    <xf numFmtId="9" fontId="23" fillId="9" borderId="14" xfId="2" applyFont="1" applyFill="1" applyBorder="1" applyAlignment="1">
      <alignment horizontal="center" vertical="center"/>
    </xf>
    <xf numFmtId="0" fontId="82" fillId="2" borderId="10" xfId="0" applyFont="1" applyFill="1" applyBorder="1" applyAlignment="1">
      <alignment horizontal="center" vertical="center" wrapText="1"/>
    </xf>
    <xf numFmtId="0" fontId="39" fillId="0" borderId="10" xfId="0" applyFont="1" applyBorder="1" applyAlignment="1">
      <alignment horizontal="center" vertical="center"/>
    </xf>
    <xf numFmtId="9" fontId="39" fillId="0" borderId="10" xfId="0" applyNumberFormat="1" applyFont="1" applyBorder="1" applyAlignment="1">
      <alignment horizontal="center" vertical="center"/>
    </xf>
    <xf numFmtId="0" fontId="82" fillId="0" borderId="0" xfId="0" applyFont="1" applyAlignment="1">
      <alignment horizontal="center" vertical="center" wrapText="1"/>
    </xf>
    <xf numFmtId="0" fontId="39" fillId="0" borderId="0" xfId="0" applyFont="1" applyAlignment="1">
      <alignment horizontal="center" vertical="center"/>
    </xf>
    <xf numFmtId="9" fontId="39" fillId="0" borderId="0" xfId="0" applyNumberFormat="1" applyFont="1" applyAlignment="1">
      <alignment horizontal="center" vertical="center"/>
    </xf>
    <xf numFmtId="0" fontId="82" fillId="2" borderId="14" xfId="0" applyFont="1" applyFill="1" applyBorder="1" applyAlignment="1">
      <alignment horizontal="center" vertical="center" wrapText="1"/>
    </xf>
    <xf numFmtId="0" fontId="55" fillId="0" borderId="0" xfId="0" applyFont="1" applyAlignment="1">
      <alignment horizontal="center" wrapText="1"/>
    </xf>
    <xf numFmtId="0" fontId="29" fillId="0" borderId="0" xfId="0" applyFont="1" applyAlignment="1">
      <alignment wrapText="1"/>
    </xf>
    <xf numFmtId="0" fontId="63" fillId="0" borderId="0" xfId="0" applyFont="1" applyAlignment="1">
      <alignment wrapText="1"/>
    </xf>
    <xf numFmtId="0" fontId="26" fillId="0" borderId="0" xfId="0" applyFont="1" applyAlignment="1">
      <alignment wrapText="1"/>
    </xf>
    <xf numFmtId="0" fontId="70" fillId="0" borderId="0" xfId="0" applyFont="1" applyAlignment="1">
      <alignment wrapText="1"/>
    </xf>
    <xf numFmtId="0" fontId="104" fillId="0" borderId="0" xfId="0" applyFont="1" applyAlignment="1">
      <alignment wrapText="1"/>
    </xf>
    <xf numFmtId="0" fontId="30" fillId="0" borderId="0" xfId="0" applyFont="1"/>
    <xf numFmtId="0" fontId="89" fillId="0" borderId="32" xfId="0" applyFont="1" applyBorder="1" applyAlignment="1">
      <alignment horizontal="center" vertical="center"/>
    </xf>
    <xf numFmtId="0" fontId="89" fillId="25" borderId="32" xfId="0" applyFont="1" applyFill="1" applyBorder="1" applyAlignment="1">
      <alignment horizontal="center" vertical="center"/>
    </xf>
    <xf numFmtId="0" fontId="67" fillId="0" borderId="32" xfId="0" applyFont="1" applyBorder="1" applyAlignment="1">
      <alignment horizontal="right" vertical="center"/>
    </xf>
    <xf numFmtId="0" fontId="66" fillId="25" borderId="32" xfId="0" applyFont="1" applyFill="1" applyBorder="1" applyAlignment="1">
      <alignment horizontal="right" vertical="center"/>
    </xf>
    <xf numFmtId="0" fontId="87" fillId="35" borderId="17" xfId="0" applyFont="1" applyFill="1" applyBorder="1" applyAlignment="1">
      <alignment horizontal="center" vertical="center" wrapText="1"/>
    </xf>
    <xf numFmtId="0" fontId="88" fillId="0" borderId="32" xfId="0" applyFont="1" applyBorder="1" applyAlignment="1">
      <alignment horizontal="right" vertical="center"/>
    </xf>
    <xf numFmtId="0" fontId="88" fillId="25" borderId="32" xfId="0" applyFont="1" applyFill="1" applyBorder="1" applyAlignment="1">
      <alignment horizontal="right" vertical="center"/>
    </xf>
    <xf numFmtId="0" fontId="89" fillId="35" borderId="45" xfId="0" applyFont="1" applyFill="1" applyBorder="1" applyAlignment="1">
      <alignment horizontal="center" vertical="center" wrapText="1"/>
    </xf>
    <xf numFmtId="0" fontId="89" fillId="35" borderId="17" xfId="0" applyFont="1" applyFill="1" applyBorder="1" applyAlignment="1">
      <alignment horizontal="center" vertical="center" wrapText="1"/>
    </xf>
    <xf numFmtId="0" fontId="87" fillId="35" borderId="17" xfId="0" applyFont="1" applyFill="1" applyBorder="1" applyAlignment="1">
      <alignment horizontal="center" vertical="center"/>
    </xf>
    <xf numFmtId="3" fontId="88" fillId="0" borderId="32" xfId="0" applyNumberFormat="1" applyFont="1" applyBorder="1" applyAlignment="1">
      <alignment horizontal="right" vertical="center"/>
    </xf>
    <xf numFmtId="3" fontId="88" fillId="25" borderId="32" xfId="0" applyNumberFormat="1" applyFont="1" applyFill="1" applyBorder="1" applyAlignment="1">
      <alignment horizontal="right" vertical="center"/>
    </xf>
    <xf numFmtId="0" fontId="103" fillId="0" borderId="0" xfId="0" applyFont="1" applyAlignment="1">
      <alignment vertical="center"/>
    </xf>
    <xf numFmtId="0" fontId="36" fillId="0" borderId="0" xfId="0" applyFont="1" applyAlignment="1">
      <alignment horizontal="center" vertical="center" wrapText="1"/>
    </xf>
    <xf numFmtId="3" fontId="66" fillId="25" borderId="32" xfId="0" applyNumberFormat="1" applyFont="1" applyFill="1" applyBorder="1" applyAlignment="1">
      <alignment horizontal="right" vertical="center"/>
    </xf>
    <xf numFmtId="9" fontId="88" fillId="25" borderId="17" xfId="0" applyNumberFormat="1" applyFont="1" applyFill="1" applyBorder="1" applyAlignment="1">
      <alignment horizontal="right" vertical="center"/>
    </xf>
    <xf numFmtId="0" fontId="64" fillId="0" borderId="0" xfId="0" applyFont="1" applyAlignment="1">
      <alignment horizontal="left" vertical="center" indent="4"/>
    </xf>
    <xf numFmtId="0" fontId="103" fillId="0" borderId="0" xfId="0" applyFont="1"/>
    <xf numFmtId="0" fontId="91" fillId="15" borderId="14" xfId="0" applyFont="1" applyFill="1" applyBorder="1"/>
    <xf numFmtId="0" fontId="91" fillId="15" borderId="14" xfId="0" applyFont="1" applyFill="1" applyBorder="1" applyAlignment="1">
      <alignment horizontal="center" vertical="center"/>
    </xf>
    <xf numFmtId="0" fontId="39" fillId="0" borderId="24" xfId="0" applyFont="1" applyBorder="1" applyAlignment="1">
      <alignment horizontal="left" vertical="top" wrapText="1"/>
    </xf>
    <xf numFmtId="0" fontId="4" fillId="0" borderId="14" xfId="0" applyFont="1" applyBorder="1" applyAlignment="1">
      <alignment horizontal="left" vertical="top"/>
    </xf>
    <xf numFmtId="10" fontId="4" fillId="0" borderId="14" xfId="0" applyNumberFormat="1" applyFont="1" applyBorder="1" applyAlignment="1">
      <alignment horizontal="left" vertical="top"/>
    </xf>
    <xf numFmtId="0" fontId="27" fillId="4" borderId="19" xfId="0" applyFont="1" applyFill="1" applyBorder="1" applyAlignment="1">
      <alignment horizontal="center" vertical="center" wrapText="1"/>
    </xf>
    <xf numFmtId="0" fontId="36" fillId="0" borderId="35" xfId="0" applyFont="1" applyBorder="1" applyAlignment="1">
      <alignment horizontal="center" vertical="center" wrapText="1"/>
    </xf>
    <xf numFmtId="10" fontId="33" fillId="0" borderId="19" xfId="2" applyNumberFormat="1" applyFont="1" applyBorder="1" applyAlignment="1">
      <alignment horizontal="center" vertical="center"/>
    </xf>
    <xf numFmtId="9" fontId="39" fillId="0" borderId="19" xfId="0" applyNumberFormat="1" applyFont="1" applyBorder="1" applyAlignment="1">
      <alignment horizontal="center" vertical="center" wrapText="1"/>
    </xf>
    <xf numFmtId="0" fontId="27" fillId="4" borderId="28" xfId="0" applyFont="1" applyFill="1" applyBorder="1" applyAlignment="1">
      <alignment horizontal="center" vertical="center" wrapText="1"/>
    </xf>
    <xf numFmtId="9" fontId="36" fillId="0" borderId="14" xfId="0" applyNumberFormat="1" applyFont="1" applyBorder="1" applyAlignment="1">
      <alignment horizontal="center" wrapText="1"/>
    </xf>
    <xf numFmtId="9" fontId="0" fillId="0" borderId="14" xfId="0" applyNumberFormat="1" applyBorder="1" applyAlignment="1">
      <alignment horizontal="center"/>
    </xf>
    <xf numFmtId="9" fontId="38" fillId="36" borderId="32" xfId="0" applyNumberFormat="1" applyFont="1" applyFill="1" applyBorder="1" applyAlignment="1">
      <alignment horizontal="center" vertical="center"/>
    </xf>
    <xf numFmtId="9" fontId="38" fillId="36" borderId="16" xfId="0" applyNumberFormat="1" applyFont="1" applyFill="1" applyBorder="1" applyAlignment="1">
      <alignment horizontal="center" vertical="center"/>
    </xf>
    <xf numFmtId="9" fontId="38" fillId="36" borderId="18" xfId="0" applyNumberFormat="1" applyFont="1" applyFill="1" applyBorder="1" applyAlignment="1">
      <alignment horizontal="center" vertical="center"/>
    </xf>
    <xf numFmtId="9" fontId="38" fillId="36" borderId="18" xfId="0" applyNumberFormat="1" applyFont="1" applyFill="1" applyBorder="1" applyAlignment="1">
      <alignment horizontal="center" vertical="center" wrapText="1"/>
    </xf>
    <xf numFmtId="3" fontId="36" fillId="0" borderId="32" xfId="0" applyNumberFormat="1" applyFont="1" applyBorder="1" applyAlignment="1">
      <alignment horizontal="center" vertical="center" wrapText="1"/>
    </xf>
    <xf numFmtId="0" fontId="38" fillId="4" borderId="50" xfId="0" applyFont="1" applyFill="1" applyBorder="1" applyAlignment="1">
      <alignment horizontal="center" vertical="center" wrapText="1"/>
    </xf>
    <xf numFmtId="3" fontId="36" fillId="0" borderId="35" xfId="0" applyNumberFormat="1" applyFont="1" applyBorder="1" applyAlignment="1">
      <alignment horizontal="center" vertical="center" wrapText="1"/>
    </xf>
    <xf numFmtId="9" fontId="38" fillId="36" borderId="50" xfId="0" applyNumberFormat="1" applyFont="1" applyFill="1" applyBorder="1" applyAlignment="1">
      <alignment horizontal="center" vertical="center" wrapText="1"/>
    </xf>
    <xf numFmtId="10" fontId="33" fillId="0" borderId="0" xfId="2" applyNumberFormat="1" applyFont="1" applyBorder="1" applyAlignment="1">
      <alignment horizontal="center" vertical="center"/>
    </xf>
    <xf numFmtId="3" fontId="36" fillId="0" borderId="14" xfId="0" applyNumberFormat="1" applyFont="1" applyBorder="1" applyAlignment="1">
      <alignment horizontal="center" vertical="center" wrapText="1"/>
    </xf>
    <xf numFmtId="9" fontId="38" fillId="36" borderId="14" xfId="0" applyNumberFormat="1" applyFont="1" applyFill="1" applyBorder="1" applyAlignment="1">
      <alignment horizontal="center" vertical="center" wrapText="1"/>
    </xf>
    <xf numFmtId="0" fontId="27" fillId="9" borderId="0" xfId="0" applyFont="1" applyFill="1" applyAlignment="1">
      <alignment horizontal="center" vertical="center" wrapText="1"/>
    </xf>
    <xf numFmtId="8" fontId="36" fillId="0" borderId="14" xfId="0" applyNumberFormat="1" applyFont="1" applyBorder="1" applyAlignment="1">
      <alignment horizontal="center" vertical="center" wrapText="1"/>
    </xf>
    <xf numFmtId="0" fontId="43" fillId="5" borderId="32" xfId="0" applyFont="1" applyFill="1" applyBorder="1" applyAlignment="1">
      <alignment horizontal="center" vertical="center" wrapText="1"/>
    </xf>
    <xf numFmtId="0" fontId="43" fillId="25" borderId="32" xfId="0" applyFont="1" applyFill="1" applyBorder="1" applyAlignment="1">
      <alignment horizontal="center" vertical="center" wrapText="1"/>
    </xf>
    <xf numFmtId="0" fontId="43" fillId="4" borderId="32" xfId="0" applyFont="1" applyFill="1" applyBorder="1" applyAlignment="1">
      <alignment horizontal="right" vertical="center" wrapText="1"/>
    </xf>
    <xf numFmtId="10" fontId="33" fillId="23" borderId="14" xfId="2" applyNumberFormat="1" applyFont="1" applyFill="1" applyBorder="1" applyAlignment="1">
      <alignment horizontal="center" vertical="center"/>
    </xf>
    <xf numFmtId="0" fontId="106" fillId="0" borderId="32" xfId="0" applyFont="1" applyBorder="1" applyAlignment="1">
      <alignment horizontal="center" vertical="center" wrapText="1"/>
    </xf>
    <xf numFmtId="0" fontId="107" fillId="0" borderId="17" xfId="0" applyFont="1" applyBorder="1" applyAlignment="1">
      <alignment horizontal="center" vertical="center" wrapText="1"/>
    </xf>
    <xf numFmtId="0" fontId="39" fillId="9" borderId="14" xfId="0" applyFont="1" applyFill="1" applyBorder="1" applyAlignment="1">
      <alignment horizontal="left" vertical="center" wrapText="1"/>
    </xf>
    <xf numFmtId="0" fontId="33" fillId="0" borderId="19" xfId="0" applyFont="1" applyBorder="1" applyAlignment="1">
      <alignment horizontal="left" vertical="center"/>
    </xf>
    <xf numFmtId="0" fontId="8" fillId="3" borderId="14" xfId="0" applyFont="1" applyFill="1" applyBorder="1" applyAlignment="1">
      <alignment horizontal="left" vertical="center" wrapText="1"/>
    </xf>
    <xf numFmtId="9" fontId="0" fillId="0" borderId="14" xfId="0" applyNumberFormat="1" applyBorder="1" applyAlignment="1">
      <alignment horizontal="center" vertical="center"/>
    </xf>
    <xf numFmtId="0" fontId="0" fillId="0" borderId="0" xfId="0" applyAlignment="1">
      <alignment horizontal="left"/>
    </xf>
    <xf numFmtId="0" fontId="4" fillId="7" borderId="14" xfId="0" applyFont="1" applyFill="1" applyBorder="1" applyAlignment="1">
      <alignment horizontal="left"/>
    </xf>
    <xf numFmtId="0" fontId="50" fillId="11" borderId="14" xfId="0" applyFont="1" applyFill="1" applyBorder="1" applyAlignment="1">
      <alignment horizontal="left" vertical="center" wrapText="1"/>
    </xf>
    <xf numFmtId="0" fontId="35" fillId="11" borderId="14" xfId="0" applyFont="1" applyFill="1" applyBorder="1" applyAlignment="1">
      <alignment vertical="center"/>
    </xf>
    <xf numFmtId="0" fontId="4" fillId="7" borderId="14" xfId="0" applyFont="1" applyFill="1" applyBorder="1" applyAlignment="1">
      <alignment wrapText="1"/>
    </xf>
    <xf numFmtId="9" fontId="8" fillId="3" borderId="14" xfId="0" applyNumberFormat="1" applyFont="1" applyFill="1" applyBorder="1" applyAlignment="1">
      <alignment horizontal="left" vertical="center" wrapText="1"/>
    </xf>
    <xf numFmtId="0" fontId="35" fillId="11" borderId="14" xfId="0" applyFont="1" applyFill="1" applyBorder="1" applyAlignment="1">
      <alignment horizontal="left" vertical="top"/>
    </xf>
    <xf numFmtId="0" fontId="4" fillId="7" borderId="14" xfId="0" applyFont="1" applyFill="1" applyBorder="1" applyAlignment="1">
      <alignment horizontal="left" vertical="top"/>
    </xf>
    <xf numFmtId="0" fontId="56" fillId="0" borderId="4" xfId="0" applyFont="1" applyBorder="1" applyAlignment="1">
      <alignment horizontal="center" vertical="center" wrapText="1"/>
    </xf>
    <xf numFmtId="0" fontId="56" fillId="0" borderId="0" xfId="0" applyFont="1" applyAlignment="1">
      <alignment horizontal="center" vertical="center" wrapText="1"/>
    </xf>
    <xf numFmtId="0" fontId="27" fillId="0" borderId="1" xfId="0" applyFont="1" applyBorder="1" applyAlignment="1">
      <alignment horizontal="center" vertical="center" wrapText="1"/>
    </xf>
    <xf numFmtId="0" fontId="39" fillId="0" borderId="2" xfId="0" applyFont="1" applyBorder="1" applyAlignment="1">
      <alignment wrapText="1"/>
    </xf>
    <xf numFmtId="0" fontId="39" fillId="0" borderId="4" xfId="0" applyFont="1" applyBorder="1" applyAlignment="1">
      <alignment wrapText="1"/>
    </xf>
    <xf numFmtId="0" fontId="39" fillId="0" borderId="5" xfId="0" applyFont="1" applyBorder="1" applyAlignment="1">
      <alignment wrapText="1"/>
    </xf>
    <xf numFmtId="0" fontId="39" fillId="0" borderId="6" xfId="0" applyFont="1" applyBorder="1" applyAlignment="1">
      <alignment wrapText="1"/>
    </xf>
    <xf numFmtId="0" fontId="39" fillId="0" borderId="7" xfId="0" applyFont="1" applyBorder="1" applyAlignment="1">
      <alignment wrapText="1"/>
    </xf>
    <xf numFmtId="0" fontId="19" fillId="0" borderId="0" xfId="0" applyFont="1" applyAlignment="1">
      <alignment horizontal="right" vertical="center"/>
    </xf>
    <xf numFmtId="0" fontId="0" fillId="0" borderId="0" xfId="0"/>
    <xf numFmtId="0" fontId="47" fillId="11" borderId="10" xfId="0" applyFont="1" applyFill="1" applyBorder="1" applyAlignment="1">
      <alignment horizontal="left" vertical="center"/>
    </xf>
    <xf numFmtId="0" fontId="39" fillId="7" borderId="11" xfId="0" applyFont="1" applyFill="1" applyBorder="1"/>
    <xf numFmtId="0" fontId="39" fillId="7" borderId="12" xfId="0" applyFont="1" applyFill="1" applyBorder="1"/>
    <xf numFmtId="0" fontId="27" fillId="2" borderId="10" xfId="0" applyFont="1" applyFill="1" applyBorder="1" applyAlignment="1">
      <alignment horizontal="left" vertical="center" wrapText="1"/>
    </xf>
    <xf numFmtId="0" fontId="39" fillId="0" borderId="12" xfId="0" applyFont="1" applyBorder="1"/>
    <xf numFmtId="0" fontId="27" fillId="2" borderId="10" xfId="0" applyFont="1" applyFill="1" applyBorder="1" applyAlignment="1">
      <alignment horizontal="left" vertical="center"/>
    </xf>
    <xf numFmtId="0" fontId="35" fillId="11" borderId="10" xfId="0" applyFont="1" applyFill="1" applyBorder="1" applyAlignment="1">
      <alignment horizontal="left" vertical="center"/>
    </xf>
    <xf numFmtId="0" fontId="4" fillId="7" borderId="11" xfId="0" applyFont="1" applyFill="1" applyBorder="1"/>
    <xf numFmtId="0" fontId="4" fillId="7" borderId="12" xfId="0" applyFont="1" applyFill="1" applyBorder="1"/>
    <xf numFmtId="0" fontId="28" fillId="0" borderId="1" xfId="0" applyFont="1" applyBorder="1" applyAlignment="1">
      <alignment horizontal="left" vertical="top" wrapText="1"/>
    </xf>
    <xf numFmtId="0" fontId="21" fillId="0" borderId="3" xfId="0" applyFont="1" applyBorder="1"/>
    <xf numFmtId="0" fontId="21" fillId="0" borderId="2" xfId="0" applyFont="1" applyBorder="1"/>
    <xf numFmtId="0" fontId="21" fillId="0" borderId="4" xfId="0" applyFont="1" applyBorder="1"/>
    <xf numFmtId="0" fontId="29" fillId="0" borderId="0" xfId="0" applyFont="1"/>
    <xf numFmtId="0" fontId="21" fillId="0" borderId="5" xfId="0" applyFont="1" applyBorder="1"/>
    <xf numFmtId="0" fontId="21" fillId="0" borderId="6" xfId="0" applyFont="1" applyBorder="1"/>
    <xf numFmtId="0" fontId="21" fillId="0" borderId="8" xfId="0" applyFont="1" applyBorder="1"/>
    <xf numFmtId="0" fontId="21" fillId="0" borderId="7" xfId="0" applyFont="1" applyBorder="1"/>
    <xf numFmtId="0" fontId="39" fillId="0" borderId="19" xfId="0" applyFont="1" applyBorder="1" applyAlignment="1">
      <alignment horizontal="left"/>
    </xf>
    <xf numFmtId="0" fontId="39" fillId="0" borderId="20" xfId="0" applyFont="1" applyBorder="1" applyAlignment="1">
      <alignment horizontal="left"/>
    </xf>
    <xf numFmtId="0" fontId="39" fillId="0" borderId="15" xfId="0" applyFont="1" applyBorder="1" applyAlignment="1">
      <alignment horizontal="left"/>
    </xf>
    <xf numFmtId="0" fontId="47" fillId="11" borderId="12" xfId="0" applyFont="1" applyFill="1" applyBorder="1" applyAlignment="1">
      <alignment horizontal="left" vertical="center"/>
    </xf>
    <xf numFmtId="9" fontId="39" fillId="3" borderId="10" xfId="0" applyNumberFormat="1" applyFont="1" applyFill="1" applyBorder="1" applyAlignment="1">
      <alignment horizontal="left" vertical="center" wrapText="1"/>
    </xf>
    <xf numFmtId="9" fontId="39" fillId="3" borderId="12" xfId="0" applyNumberFormat="1" applyFont="1" applyFill="1" applyBorder="1" applyAlignment="1">
      <alignment horizontal="left" vertical="center" wrapText="1"/>
    </xf>
    <xf numFmtId="0" fontId="47" fillId="11" borderId="10" xfId="0" applyFont="1" applyFill="1" applyBorder="1" applyAlignment="1">
      <alignment horizontal="left" vertical="center" wrapText="1"/>
    </xf>
    <xf numFmtId="0" fontId="47" fillId="11" borderId="30" xfId="0" applyFont="1" applyFill="1" applyBorder="1" applyAlignment="1">
      <alignment horizontal="left" vertical="center" wrapText="1"/>
    </xf>
    <xf numFmtId="0" fontId="22" fillId="3" borderId="10" xfId="0" applyFont="1" applyFill="1" applyBorder="1" applyAlignment="1">
      <alignment vertical="center" wrapText="1"/>
    </xf>
    <xf numFmtId="0" fontId="75" fillId="0" borderId="10" xfId="0" applyFont="1" applyBorder="1" applyAlignment="1">
      <alignment horizontal="center" vertical="center"/>
    </xf>
    <xf numFmtId="0" fontId="39" fillId="0" borderId="11" xfId="0" applyFont="1" applyBorder="1"/>
    <xf numFmtId="0" fontId="76" fillId="0" borderId="10" xfId="0" applyFont="1" applyBorder="1" applyAlignment="1">
      <alignment horizontal="center" vertical="center"/>
    </xf>
    <xf numFmtId="0" fontId="39" fillId="0" borderId="12" xfId="0" applyFont="1" applyBorder="1" applyAlignment="1">
      <alignment horizontal="left"/>
    </xf>
    <xf numFmtId="0" fontId="23" fillId="3" borderId="1" xfId="0" applyFont="1" applyFill="1" applyBorder="1" applyAlignment="1">
      <alignment vertical="center" wrapText="1"/>
    </xf>
    <xf numFmtId="0" fontId="23" fillId="0" borderId="3" xfId="0" applyFont="1" applyBorder="1"/>
    <xf numFmtId="0" fontId="23" fillId="0" borderId="2" xfId="0" applyFont="1" applyBorder="1"/>
    <xf numFmtId="0" fontId="23" fillId="3" borderId="10" xfId="0" applyFont="1" applyFill="1" applyBorder="1" applyAlignment="1">
      <alignment vertical="center" wrapText="1"/>
    </xf>
    <xf numFmtId="0" fontId="23" fillId="0" borderId="11" xfId="0" applyFont="1" applyBorder="1"/>
    <xf numFmtId="0" fontId="23" fillId="0" borderId="12" xfId="0" applyFont="1" applyBorder="1"/>
    <xf numFmtId="9" fontId="22" fillId="3" borderId="10" xfId="0" applyNumberFormat="1" applyFont="1" applyFill="1" applyBorder="1" applyAlignment="1">
      <alignment horizontal="left" vertical="center" wrapText="1"/>
    </xf>
    <xf numFmtId="0" fontId="22" fillId="3" borderId="1" xfId="0" applyFont="1" applyFill="1" applyBorder="1" applyAlignment="1">
      <alignment horizontal="left" vertical="center" wrapText="1"/>
    </xf>
    <xf numFmtId="0" fontId="39" fillId="0" borderId="2" xfId="0" applyFont="1" applyBorder="1" applyAlignment="1">
      <alignment horizontal="left"/>
    </xf>
    <xf numFmtId="0" fontId="47" fillId="11" borderId="1" xfId="0" applyFont="1" applyFill="1" applyBorder="1" applyAlignment="1">
      <alignment horizontal="left" vertical="center"/>
    </xf>
    <xf numFmtId="0" fontId="39" fillId="7" borderId="2" xfId="0" applyFont="1" applyFill="1" applyBorder="1"/>
    <xf numFmtId="0" fontId="39" fillId="0" borderId="1" xfId="0" applyFont="1" applyBorder="1" applyAlignment="1">
      <alignment horizontal="left"/>
    </xf>
    <xf numFmtId="0" fontId="39" fillId="0" borderId="3" xfId="0" applyFont="1" applyBorder="1" applyAlignment="1">
      <alignment horizontal="left"/>
    </xf>
    <xf numFmtId="9" fontId="22" fillId="3" borderId="12" xfId="0" applyNumberFormat="1" applyFont="1" applyFill="1" applyBorder="1" applyAlignment="1">
      <alignment horizontal="left" vertical="center" wrapText="1"/>
    </xf>
    <xf numFmtId="0" fontId="47" fillId="11" borderId="12" xfId="0" applyFont="1" applyFill="1" applyBorder="1" applyAlignment="1">
      <alignment horizontal="left" vertical="center" wrapText="1"/>
    </xf>
    <xf numFmtId="0" fontId="23" fillId="3" borderId="10" xfId="0" applyFont="1" applyFill="1" applyBorder="1" applyAlignment="1">
      <alignment horizontal="left" vertical="center" wrapText="1"/>
    </xf>
    <xf numFmtId="0" fontId="23" fillId="3" borderId="11" xfId="0" applyFont="1" applyFill="1" applyBorder="1" applyAlignment="1">
      <alignment horizontal="left" vertical="center" wrapText="1"/>
    </xf>
    <xf numFmtId="0" fontId="23" fillId="3" borderId="12" xfId="0" applyFont="1" applyFill="1" applyBorder="1" applyAlignment="1">
      <alignment horizontal="left" vertical="center" wrapText="1"/>
    </xf>
    <xf numFmtId="0" fontId="47" fillId="11" borderId="11" xfId="0" applyFont="1" applyFill="1" applyBorder="1" applyAlignment="1">
      <alignment horizontal="left" vertical="center"/>
    </xf>
    <xf numFmtId="0" fontId="22" fillId="3" borderId="14" xfId="0" applyFont="1" applyFill="1" applyBorder="1" applyAlignment="1">
      <alignment horizontal="left" vertical="center" wrapText="1"/>
    </xf>
    <xf numFmtId="0" fontId="39" fillId="0" borderId="14" xfId="0" applyFont="1" applyBorder="1" applyAlignment="1">
      <alignment horizontal="left"/>
    </xf>
    <xf numFmtId="0" fontId="47" fillId="11" borderId="14" xfId="0" applyFont="1" applyFill="1" applyBorder="1" applyAlignment="1">
      <alignment horizontal="left" vertical="center"/>
    </xf>
    <xf numFmtId="0" fontId="39" fillId="7" borderId="3" xfId="0" applyFont="1" applyFill="1" applyBorder="1"/>
    <xf numFmtId="0" fontId="47" fillId="2" borderId="10" xfId="0" applyFont="1" applyFill="1" applyBorder="1" applyAlignment="1">
      <alignment horizontal="left" vertical="center" wrapText="1"/>
    </xf>
    <xf numFmtId="0" fontId="47" fillId="2" borderId="10" xfId="0" applyFont="1" applyFill="1" applyBorder="1" applyAlignment="1">
      <alignment horizontal="left" vertical="center"/>
    </xf>
    <xf numFmtId="0" fontId="39" fillId="3" borderId="10" xfId="0" applyFont="1" applyFill="1" applyBorder="1" applyAlignment="1">
      <alignment horizontal="left" vertical="center" wrapText="1"/>
    </xf>
    <xf numFmtId="0" fontId="39" fillId="3" borderId="11" xfId="0" applyFont="1" applyFill="1" applyBorder="1" applyAlignment="1">
      <alignment horizontal="left" vertical="center" wrapText="1"/>
    </xf>
    <xf numFmtId="0" fontId="39" fillId="0" borderId="10" xfId="0" applyFont="1" applyBorder="1" applyAlignment="1">
      <alignment horizontal="left"/>
    </xf>
    <xf numFmtId="0" fontId="39" fillId="0" borderId="11" xfId="0" applyFont="1" applyBorder="1" applyAlignment="1">
      <alignment horizontal="left"/>
    </xf>
    <xf numFmtId="0" fontId="39" fillId="3" borderId="12" xfId="0" applyFont="1" applyFill="1" applyBorder="1" applyAlignment="1">
      <alignment horizontal="left" vertical="center" wrapText="1"/>
    </xf>
    <xf numFmtId="0" fontId="39" fillId="3" borderId="10" xfId="0" applyFont="1" applyFill="1" applyBorder="1" applyAlignment="1">
      <alignment vertical="center" wrapText="1"/>
    </xf>
    <xf numFmtId="0" fontId="39" fillId="3" borderId="12" xfId="0" applyFont="1" applyFill="1" applyBorder="1" applyAlignment="1">
      <alignment vertical="center" wrapText="1"/>
    </xf>
    <xf numFmtId="0" fontId="81" fillId="0" borderId="1" xfId="0" applyFont="1" applyBorder="1" applyAlignment="1">
      <alignment horizontal="left" vertical="top" wrapText="1"/>
    </xf>
    <xf numFmtId="0" fontId="81" fillId="0" borderId="3" xfId="0" applyFont="1" applyBorder="1" applyAlignment="1">
      <alignment horizontal="left" vertical="top" wrapText="1"/>
    </xf>
    <xf numFmtId="0" fontId="81" fillId="0" borderId="2" xfId="0" applyFont="1" applyBorder="1" applyAlignment="1">
      <alignment horizontal="left" vertical="top" wrapText="1"/>
    </xf>
    <xf numFmtId="0" fontId="81" fillId="0" borderId="4" xfId="0" applyFont="1" applyBorder="1" applyAlignment="1">
      <alignment horizontal="left" vertical="top" wrapText="1"/>
    </xf>
    <xf numFmtId="0" fontId="81" fillId="0" borderId="0" xfId="0" applyFont="1" applyAlignment="1">
      <alignment horizontal="left" vertical="top" wrapText="1"/>
    </xf>
    <xf numFmtId="0" fontId="81" fillId="0" borderId="5" xfId="0" applyFont="1" applyBorder="1" applyAlignment="1">
      <alignment horizontal="left" vertical="top" wrapText="1"/>
    </xf>
    <xf numFmtId="0" fontId="81" fillId="0" borderId="6" xfId="0" applyFont="1" applyBorder="1" applyAlignment="1">
      <alignment horizontal="left" vertical="top" wrapText="1"/>
    </xf>
    <xf numFmtId="0" fontId="81" fillId="0" borderId="8" xfId="0" applyFont="1" applyBorder="1" applyAlignment="1">
      <alignment horizontal="left" vertical="top" wrapText="1"/>
    </xf>
    <xf numFmtId="0" fontId="81" fillId="0" borderId="7" xfId="0" applyFont="1" applyBorder="1" applyAlignment="1">
      <alignment horizontal="left" vertical="top" wrapText="1"/>
    </xf>
    <xf numFmtId="0" fontId="35" fillId="11" borderId="1" xfId="0" applyFont="1" applyFill="1" applyBorder="1" applyAlignment="1">
      <alignment horizontal="left" vertical="center"/>
    </xf>
    <xf numFmtId="0" fontId="4" fillId="7" borderId="3" xfId="0" applyFont="1" applyFill="1" applyBorder="1"/>
    <xf numFmtId="0" fontId="4" fillId="7" borderId="2" xfId="0" applyFont="1" applyFill="1" applyBorder="1"/>
    <xf numFmtId="0" fontId="22" fillId="3" borderId="10" xfId="0" applyFont="1" applyFill="1" applyBorder="1" applyAlignment="1">
      <alignment horizontal="left" vertical="center" wrapText="1"/>
    </xf>
    <xf numFmtId="0" fontId="22" fillId="3" borderId="11" xfId="0" applyFont="1" applyFill="1" applyBorder="1" applyAlignment="1">
      <alignment horizontal="left" vertical="center" wrapText="1"/>
    </xf>
    <xf numFmtId="0" fontId="28" fillId="0" borderId="14" xfId="0" applyFont="1" applyBorder="1" applyAlignment="1">
      <alignment horizontal="left" vertical="top" wrapText="1"/>
    </xf>
    <xf numFmtId="0" fontId="22" fillId="3" borderId="12" xfId="0" applyFont="1" applyFill="1" applyBorder="1" applyAlignment="1">
      <alignment horizontal="left" vertical="center" wrapText="1"/>
    </xf>
    <xf numFmtId="0" fontId="28" fillId="0" borderId="28" xfId="0" applyFont="1" applyBorder="1" applyAlignment="1">
      <alignment horizontal="center" vertical="top" wrapText="1"/>
    </xf>
    <xf numFmtId="0" fontId="28" fillId="0" borderId="47" xfId="0" applyFont="1" applyBorder="1" applyAlignment="1">
      <alignment horizontal="center" vertical="top" wrapText="1"/>
    </xf>
    <xf numFmtId="0" fontId="28" fillId="0" borderId="29" xfId="0" applyFont="1" applyBorder="1" applyAlignment="1">
      <alignment horizontal="center" vertical="top" wrapText="1"/>
    </xf>
    <xf numFmtId="0" fontId="28" fillId="0" borderId="22" xfId="0" applyFont="1" applyBorder="1" applyAlignment="1">
      <alignment horizontal="center" vertical="top" wrapText="1"/>
    </xf>
    <xf numFmtId="0" fontId="28" fillId="0" borderId="0" xfId="0" applyFont="1" applyAlignment="1">
      <alignment horizontal="center" vertical="top" wrapText="1"/>
    </xf>
    <xf numFmtId="0" fontId="28" fillId="0" borderId="23" xfId="0" applyFont="1" applyBorder="1" applyAlignment="1">
      <alignment horizontal="center" vertical="top" wrapText="1"/>
    </xf>
    <xf numFmtId="0" fontId="28" fillId="0" borderId="49" xfId="0" applyFont="1" applyBorder="1" applyAlignment="1">
      <alignment horizontal="center" vertical="top" wrapText="1"/>
    </xf>
    <xf numFmtId="0" fontId="28" fillId="0" borderId="36" xfId="0" applyFont="1" applyBorder="1" applyAlignment="1">
      <alignment horizontal="center" vertical="top" wrapText="1"/>
    </xf>
    <xf numFmtId="0" fontId="28" fillId="0" borderId="37" xfId="0" applyFont="1" applyBorder="1" applyAlignment="1">
      <alignment horizontal="center" vertical="top" wrapText="1"/>
    </xf>
    <xf numFmtId="0" fontId="38" fillId="21" borderId="38" xfId="0" applyFont="1" applyFill="1" applyBorder="1" applyAlignment="1">
      <alignment horizontal="left" vertical="center" wrapText="1"/>
    </xf>
    <xf numFmtId="0" fontId="38" fillId="21" borderId="39" xfId="0" applyFont="1" applyFill="1" applyBorder="1" applyAlignment="1">
      <alignment horizontal="left" vertical="center" wrapText="1"/>
    </xf>
    <xf numFmtId="0" fontId="47" fillId="11" borderId="58" xfId="0" applyFont="1" applyFill="1" applyBorder="1" applyAlignment="1">
      <alignment horizontal="left" vertical="center"/>
    </xf>
    <xf numFmtId="0" fontId="39" fillId="7" borderId="59" xfId="0" applyFont="1" applyFill="1" applyBorder="1"/>
    <xf numFmtId="0" fontId="39" fillId="7" borderId="60" xfId="0" applyFont="1" applyFill="1" applyBorder="1"/>
    <xf numFmtId="0" fontId="22" fillId="3" borderId="1" xfId="0" applyFont="1" applyFill="1" applyBorder="1" applyAlignment="1">
      <alignment vertical="center" wrapText="1"/>
    </xf>
    <xf numFmtId="0" fontId="39" fillId="0" borderId="3" xfId="0" applyFont="1" applyBorder="1"/>
    <xf numFmtId="0" fontId="39" fillId="0" borderId="2" xfId="0" applyFont="1" applyBorder="1"/>
    <xf numFmtId="9" fontId="39" fillId="3" borderId="10" xfId="0" applyNumberFormat="1" applyFont="1" applyFill="1" applyBorder="1" applyAlignment="1">
      <alignment vertical="center" wrapText="1"/>
    </xf>
    <xf numFmtId="0" fontId="39" fillId="0" borderId="19" xfId="0" applyFont="1" applyBorder="1" applyAlignment="1">
      <alignment horizontal="center"/>
    </xf>
    <xf numFmtId="0" fontId="39" fillId="0" borderId="20" xfId="0" applyFont="1" applyBorder="1" applyAlignment="1">
      <alignment horizontal="center"/>
    </xf>
    <xf numFmtId="0" fontId="39" fillId="0" borderId="15" xfId="0" applyFont="1" applyBorder="1" applyAlignment="1">
      <alignment horizontal="center"/>
    </xf>
    <xf numFmtId="0" fontId="22" fillId="0" borderId="42" xfId="0" applyFont="1" applyBorder="1" applyAlignment="1">
      <alignment horizontal="center"/>
    </xf>
    <xf numFmtId="0" fontId="22" fillId="0" borderId="53" xfId="0" applyFont="1" applyBorder="1" applyAlignment="1">
      <alignment horizontal="center"/>
    </xf>
    <xf numFmtId="0" fontId="35" fillId="11" borderId="3" xfId="0" applyFont="1" applyFill="1" applyBorder="1" applyAlignment="1">
      <alignment horizontal="left" vertical="center"/>
    </xf>
    <xf numFmtId="0" fontId="35" fillId="11" borderId="2" xfId="0" applyFont="1" applyFill="1" applyBorder="1" applyAlignment="1">
      <alignment horizontal="left" vertical="center"/>
    </xf>
    <xf numFmtId="0" fontId="36" fillId="0" borderId="19" xfId="0" applyFont="1" applyBorder="1" applyAlignment="1">
      <alignment horizontal="center" vertical="center" wrapText="1"/>
    </xf>
    <xf numFmtId="0" fontId="36" fillId="0" borderId="15" xfId="0" applyFont="1" applyBorder="1" applyAlignment="1">
      <alignment horizontal="center" vertical="center" wrapText="1"/>
    </xf>
    <xf numFmtId="0" fontId="41" fillId="0" borderId="14" xfId="0" applyFont="1" applyBorder="1" applyAlignment="1">
      <alignment horizontal="center" vertical="top" wrapText="1"/>
    </xf>
    <xf numFmtId="0" fontId="23" fillId="3" borderId="10" xfId="0" applyFont="1" applyFill="1" applyBorder="1" applyAlignment="1">
      <alignment vertical="center"/>
    </xf>
    <xf numFmtId="0" fontId="23" fillId="3" borderId="12" xfId="0" applyFont="1" applyFill="1" applyBorder="1" applyAlignment="1">
      <alignment vertical="center"/>
    </xf>
    <xf numFmtId="0" fontId="47" fillId="2" borderId="19" xfId="0" applyFont="1" applyFill="1" applyBorder="1" applyAlignment="1">
      <alignment vertical="center"/>
    </xf>
    <xf numFmtId="0" fontId="47" fillId="2" borderId="15" xfId="0" applyFont="1" applyFill="1" applyBorder="1" applyAlignment="1">
      <alignment vertical="center"/>
    </xf>
    <xf numFmtId="0" fontId="39" fillId="2" borderId="19" xfId="0" applyFont="1" applyFill="1" applyBorder="1" applyAlignment="1">
      <alignment horizontal="center" vertical="center"/>
    </xf>
    <xf numFmtId="0" fontId="39" fillId="2" borderId="15" xfId="0" applyFont="1" applyFill="1" applyBorder="1" applyAlignment="1">
      <alignment horizontal="center" vertical="center"/>
    </xf>
    <xf numFmtId="0" fontId="35" fillId="11" borderId="4" xfId="0" applyFont="1" applyFill="1" applyBorder="1" applyAlignment="1">
      <alignment horizontal="center" vertical="center"/>
    </xf>
    <xf numFmtId="0" fontId="35" fillId="11" borderId="0" xfId="0" applyFont="1" applyFill="1" applyAlignment="1">
      <alignment horizontal="center" vertical="center"/>
    </xf>
    <xf numFmtId="0" fontId="47" fillId="2" borderId="14" xfId="0" applyFont="1" applyFill="1" applyBorder="1" applyAlignment="1">
      <alignment vertical="center"/>
    </xf>
    <xf numFmtId="0" fontId="39" fillId="0" borderId="14" xfId="0" applyFont="1" applyBorder="1"/>
    <xf numFmtId="0" fontId="39" fillId="2" borderId="14" xfId="0" applyFont="1" applyFill="1" applyBorder="1" applyAlignment="1">
      <alignment horizontal="center" vertical="center"/>
    </xf>
    <xf numFmtId="0" fontId="39" fillId="0" borderId="14" xfId="0" applyFont="1" applyBorder="1" applyAlignment="1">
      <alignment horizontal="center"/>
    </xf>
    <xf numFmtId="0" fontId="47" fillId="2" borderId="19" xfId="0" applyFont="1" applyFill="1" applyBorder="1" applyAlignment="1">
      <alignment horizontal="center" vertical="center" wrapText="1"/>
    </xf>
    <xf numFmtId="0" fontId="47" fillId="2" borderId="15" xfId="0" applyFont="1" applyFill="1" applyBorder="1" applyAlignment="1">
      <alignment horizontal="center" vertical="center" wrapText="1"/>
    </xf>
    <xf numFmtId="0" fontId="36" fillId="0" borderId="14" xfId="0" applyFont="1" applyBorder="1" applyAlignment="1">
      <alignment horizontal="center" vertical="center" wrapText="1"/>
    </xf>
    <xf numFmtId="0" fontId="23" fillId="3" borderId="10" xfId="0" applyFont="1" applyFill="1" applyBorder="1" applyAlignment="1">
      <alignment horizontal="center" vertical="center" wrapText="1"/>
    </xf>
    <xf numFmtId="0" fontId="23" fillId="3" borderId="12" xfId="0" applyFont="1" applyFill="1" applyBorder="1" applyAlignment="1">
      <alignment horizontal="center" vertical="center"/>
    </xf>
    <xf numFmtId="0" fontId="96" fillId="3" borderId="25" xfId="0" applyFont="1" applyFill="1" applyBorder="1" applyAlignment="1">
      <alignment vertical="center" wrapText="1"/>
    </xf>
    <xf numFmtId="0" fontId="96" fillId="0" borderId="26" xfId="0" applyFont="1" applyBorder="1"/>
    <xf numFmtId="0" fontId="96" fillId="0" borderId="27" xfId="0" applyFont="1" applyBorder="1"/>
    <xf numFmtId="0" fontId="79" fillId="11" borderId="10" xfId="0" applyFont="1" applyFill="1" applyBorder="1" applyAlignment="1">
      <alignment horizontal="left" vertical="center" wrapText="1"/>
    </xf>
    <xf numFmtId="0" fontId="23" fillId="7" borderId="11" xfId="0" applyFont="1" applyFill="1" applyBorder="1"/>
    <xf numFmtId="0" fontId="98" fillId="3" borderId="10" xfId="0" applyFont="1" applyFill="1" applyBorder="1" applyAlignment="1">
      <alignment vertical="center" wrapText="1"/>
    </xf>
    <xf numFmtId="0" fontId="98" fillId="0" borderId="12" xfId="0" applyFont="1" applyBorder="1"/>
    <xf numFmtId="0" fontId="47" fillId="11" borderId="25" xfId="0" applyFont="1" applyFill="1" applyBorder="1" applyAlignment="1">
      <alignment horizontal="left" vertical="center"/>
    </xf>
    <xf numFmtId="0" fontId="39" fillId="7" borderId="26" xfId="0" applyFont="1" applyFill="1" applyBorder="1"/>
    <xf numFmtId="0" fontId="36" fillId="0" borderId="20" xfId="0" applyFont="1" applyBorder="1" applyAlignment="1">
      <alignment horizontal="center" vertical="center" wrapText="1"/>
    </xf>
    <xf numFmtId="0" fontId="0" fillId="0" borderId="14" xfId="0" applyBorder="1" applyAlignment="1">
      <alignment horizontal="center"/>
    </xf>
    <xf numFmtId="0" fontId="20" fillId="0" borderId="19" xfId="0" applyFont="1" applyBorder="1" applyAlignment="1">
      <alignment horizontal="left"/>
    </xf>
    <xf numFmtId="0" fontId="0" fillId="0" borderId="20" xfId="0" applyBorder="1" applyAlignment="1">
      <alignment horizontal="left"/>
    </xf>
    <xf numFmtId="0" fontId="0" fillId="0" borderId="15" xfId="0" applyBorder="1" applyAlignment="1">
      <alignment horizontal="left"/>
    </xf>
    <xf numFmtId="0" fontId="0" fillId="0" borderId="28" xfId="0" applyBorder="1" applyAlignment="1">
      <alignment horizontal="left"/>
    </xf>
    <xf numFmtId="0" fontId="0" fillId="0" borderId="47" xfId="0" applyBorder="1" applyAlignment="1">
      <alignment horizontal="left"/>
    </xf>
    <xf numFmtId="0" fontId="0" fillId="0" borderId="29" xfId="0" applyBorder="1" applyAlignment="1">
      <alignment horizontal="left"/>
    </xf>
    <xf numFmtId="0" fontId="20" fillId="0" borderId="28" xfId="0" applyFont="1" applyBorder="1" applyAlignment="1">
      <alignment horizontal="left"/>
    </xf>
    <xf numFmtId="0" fontId="20" fillId="0" borderId="19" xfId="0" applyFont="1" applyBorder="1" applyAlignment="1">
      <alignment horizontal="left" wrapText="1"/>
    </xf>
    <xf numFmtId="0" fontId="0" fillId="0" borderId="20" xfId="0" applyBorder="1" applyAlignment="1">
      <alignment horizontal="left" wrapText="1"/>
    </xf>
    <xf numFmtId="0" fontId="0" fillId="0" borderId="15" xfId="0" applyBorder="1" applyAlignment="1">
      <alignment horizontal="left" wrapText="1"/>
    </xf>
    <xf numFmtId="0" fontId="47" fillId="11" borderId="19" xfId="0" applyFont="1" applyFill="1" applyBorder="1" applyAlignment="1">
      <alignment horizontal="left" vertical="center"/>
    </xf>
    <xf numFmtId="0" fontId="39" fillId="7" borderId="20" xfId="0" applyFont="1" applyFill="1" applyBorder="1"/>
    <xf numFmtId="0" fontId="39" fillId="7" borderId="15" xfId="0" applyFont="1" applyFill="1" applyBorder="1"/>
    <xf numFmtId="0" fontId="41" fillId="0" borderId="1" xfId="0" applyFont="1" applyBorder="1" applyAlignment="1">
      <alignment horizontal="left" vertical="top" wrapText="1"/>
    </xf>
    <xf numFmtId="0" fontId="47" fillId="26" borderId="14" xfId="0" applyFont="1" applyFill="1" applyBorder="1" applyAlignment="1">
      <alignment horizontal="left" vertical="center"/>
    </xf>
    <xf numFmtId="0" fontId="39" fillId="16" borderId="14" xfId="0" applyFont="1" applyFill="1" applyBorder="1"/>
    <xf numFmtId="0" fontId="36" fillId="0" borderId="22" xfId="0" applyFont="1" applyBorder="1" applyAlignment="1">
      <alignment horizontal="center" vertical="center" wrapText="1"/>
    </xf>
    <xf numFmtId="0" fontId="36" fillId="0" borderId="0" xfId="0" applyFont="1" applyAlignment="1">
      <alignment horizontal="center" vertical="center" wrapText="1"/>
    </xf>
    <xf numFmtId="0" fontId="6" fillId="0" borderId="10" xfId="0" applyFont="1" applyBorder="1" applyAlignment="1">
      <alignment horizontal="center" vertical="center"/>
    </xf>
    <xf numFmtId="0" fontId="4" fillId="0" borderId="11" xfId="0" applyFont="1" applyBorder="1"/>
    <xf numFmtId="0" fontId="4" fillId="0" borderId="12" xfId="0" applyFont="1" applyBorder="1"/>
    <xf numFmtId="0" fontId="51" fillId="0" borderId="10" xfId="0" applyFont="1" applyBorder="1" applyAlignment="1">
      <alignment horizontal="center" vertical="center"/>
    </xf>
    <xf numFmtId="0" fontId="8" fillId="3" borderId="10" xfId="0" applyFont="1" applyFill="1" applyBorder="1" applyAlignment="1">
      <alignment vertical="center" wrapText="1"/>
    </xf>
    <xf numFmtId="0" fontId="35" fillId="11" borderId="12" xfId="0" applyFont="1" applyFill="1" applyBorder="1" applyAlignment="1">
      <alignment horizontal="left" vertical="center"/>
    </xf>
    <xf numFmtId="0" fontId="13" fillId="3" borderId="10" xfId="0" applyFont="1" applyFill="1" applyBorder="1" applyAlignment="1">
      <alignment vertical="center" wrapText="1"/>
    </xf>
    <xf numFmtId="0" fontId="14" fillId="0" borderId="12" xfId="0" applyFont="1" applyBorder="1"/>
    <xf numFmtId="0" fontId="11" fillId="11" borderId="10" xfId="0" applyFont="1" applyFill="1" applyBorder="1" applyAlignment="1">
      <alignment horizontal="left" vertical="center" wrapText="1"/>
    </xf>
    <xf numFmtId="0" fontId="14" fillId="7" borderId="12" xfId="0" applyFont="1" applyFill="1" applyBorder="1"/>
    <xf numFmtId="0" fontId="11" fillId="11" borderId="11"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2" xfId="0" applyFont="1" applyFill="1" applyBorder="1" applyAlignment="1">
      <alignment horizontal="left" vertical="center" wrapText="1"/>
    </xf>
    <xf numFmtId="0" fontId="4" fillId="0" borderId="31" xfId="0" applyFont="1" applyBorder="1" applyAlignment="1">
      <alignment horizontal="left"/>
    </xf>
    <xf numFmtId="0" fontId="4" fillId="0" borderId="26" xfId="0" applyFont="1" applyBorder="1" applyAlignment="1">
      <alignment horizontal="left"/>
    </xf>
    <xf numFmtId="0" fontId="4" fillId="0" borderId="61" xfId="0" applyFont="1" applyBorder="1" applyAlignment="1">
      <alignment horizontal="left"/>
    </xf>
    <xf numFmtId="0" fontId="35" fillId="2" borderId="14" xfId="0" applyFont="1" applyFill="1" applyBorder="1" applyAlignment="1">
      <alignment horizontal="left" vertical="center"/>
    </xf>
    <xf numFmtId="0" fontId="4" fillId="0" borderId="19" xfId="0" applyFont="1" applyBorder="1"/>
    <xf numFmtId="9" fontId="18" fillId="6" borderId="14" xfId="0" applyNumberFormat="1" applyFont="1" applyFill="1" applyBorder="1" applyAlignment="1">
      <alignment horizontal="center"/>
    </xf>
    <xf numFmtId="9" fontId="18" fillId="6" borderId="19" xfId="0" applyNumberFormat="1" applyFont="1" applyFill="1" applyBorder="1" applyAlignment="1">
      <alignment horizontal="center"/>
    </xf>
    <xf numFmtId="0" fontId="36" fillId="7" borderId="14" xfId="0" applyFont="1" applyFill="1" applyBorder="1" applyAlignment="1">
      <alignment horizontal="center" vertical="center" wrapText="1"/>
    </xf>
    <xf numFmtId="0" fontId="36" fillId="7" borderId="19" xfId="0" applyFont="1" applyFill="1" applyBorder="1" applyAlignment="1">
      <alignment horizontal="center" vertical="center" wrapText="1"/>
    </xf>
    <xf numFmtId="0" fontId="4" fillId="0" borderId="19" xfId="0" applyFont="1" applyBorder="1" applyAlignment="1">
      <alignment horizontal="left" wrapText="1"/>
    </xf>
    <xf numFmtId="0" fontId="4" fillId="0" borderId="20" xfId="0" applyFont="1" applyBorder="1" applyAlignment="1">
      <alignment horizontal="left" wrapText="1"/>
    </xf>
    <xf numFmtId="0" fontId="4" fillId="0" borderId="15" xfId="0" applyFont="1" applyBorder="1" applyAlignment="1">
      <alignment horizontal="left" wrapText="1"/>
    </xf>
    <xf numFmtId="0" fontId="22" fillId="0" borderId="14" xfId="0" applyFont="1" applyBorder="1" applyAlignment="1">
      <alignment horizontal="center" vertical="center" wrapText="1"/>
    </xf>
    <xf numFmtId="0" fontId="27" fillId="7" borderId="19" xfId="0" applyFont="1" applyFill="1" applyBorder="1" applyAlignment="1">
      <alignment horizontal="left" vertical="center" wrapText="1"/>
    </xf>
    <xf numFmtId="0" fontId="27" fillId="7" borderId="15" xfId="0" applyFont="1" applyFill="1" applyBorder="1" applyAlignment="1">
      <alignment horizontal="left" vertical="center" wrapText="1"/>
    </xf>
    <xf numFmtId="0" fontId="57" fillId="7" borderId="14" xfId="0" applyFont="1" applyFill="1" applyBorder="1"/>
    <xf numFmtId="0" fontId="4" fillId="0" borderId="14" xfId="0" applyFont="1" applyBorder="1" applyAlignment="1">
      <alignment horizontal="left" vertical="top" wrapText="1"/>
    </xf>
    <xf numFmtId="0" fontId="22" fillId="7" borderId="19" xfId="0" applyFont="1" applyFill="1" applyBorder="1" applyAlignment="1">
      <alignment horizontal="center" vertical="center" wrapText="1"/>
    </xf>
    <xf numFmtId="0" fontId="22" fillId="7" borderId="15" xfId="0" applyFont="1" applyFill="1" applyBorder="1" applyAlignment="1">
      <alignment horizontal="center" vertical="center" wrapText="1"/>
    </xf>
    <xf numFmtId="0" fontId="39" fillId="7" borderId="12" xfId="0" applyFont="1" applyFill="1" applyBorder="1" applyAlignment="1">
      <alignment horizontal="left" vertical="center"/>
    </xf>
    <xf numFmtId="0" fontId="39" fillId="0" borderId="12" xfId="0" applyFont="1" applyBorder="1" applyAlignment="1">
      <alignment horizontal="left" vertical="center"/>
    </xf>
    <xf numFmtId="0" fontId="39" fillId="0" borderId="11" xfId="0" applyFont="1" applyBorder="1" applyAlignment="1">
      <alignment horizontal="left" vertical="center"/>
    </xf>
    <xf numFmtId="0" fontId="75" fillId="0" borderId="10" xfId="0" applyFont="1" applyBorder="1" applyAlignment="1">
      <alignment horizontal="left" vertical="center"/>
    </xf>
    <xf numFmtId="0" fontId="76" fillId="0" borderId="10" xfId="0" applyFont="1" applyBorder="1" applyAlignment="1">
      <alignment horizontal="left" vertical="center"/>
    </xf>
    <xf numFmtId="0" fontId="41" fillId="0" borderId="0" xfId="0" applyFont="1" applyAlignment="1">
      <alignment horizontal="left" vertical="top" wrapText="1"/>
    </xf>
    <xf numFmtId="0" fontId="21" fillId="0" borderId="0" xfId="0" applyFont="1"/>
    <xf numFmtId="0" fontId="39" fillId="7" borderId="11" xfId="0" applyFont="1" applyFill="1" applyBorder="1" applyAlignment="1">
      <alignment horizontal="left" vertical="center"/>
    </xf>
    <xf numFmtId="0" fontId="27" fillId="34" borderId="14" xfId="0" applyFont="1" applyFill="1" applyBorder="1" applyAlignment="1">
      <alignment horizontal="left" vertical="center" wrapText="1"/>
    </xf>
    <xf numFmtId="0" fontId="39" fillId="9" borderId="14" xfId="0" applyFont="1" applyFill="1" applyBorder="1" applyAlignment="1">
      <alignment horizontal="left" vertical="center"/>
    </xf>
    <xf numFmtId="0" fontId="27" fillId="34" borderId="19" xfId="0" applyFont="1" applyFill="1" applyBorder="1" applyAlignment="1">
      <alignment horizontal="left" vertical="top" wrapText="1"/>
    </xf>
    <xf numFmtId="0" fontId="27" fillId="34" borderId="15" xfId="0" applyFont="1" applyFill="1" applyBorder="1" applyAlignment="1">
      <alignment horizontal="left" vertical="top" wrapText="1"/>
    </xf>
    <xf numFmtId="0" fontId="27" fillId="34" borderId="19" xfId="0" applyFont="1" applyFill="1" applyBorder="1" applyAlignment="1">
      <alignment horizontal="left" vertical="center" wrapText="1"/>
    </xf>
    <xf numFmtId="0" fontId="27" fillId="34" borderId="15" xfId="0" applyFont="1" applyFill="1" applyBorder="1" applyAlignment="1">
      <alignment horizontal="left" vertical="center" wrapText="1"/>
    </xf>
    <xf numFmtId="0" fontId="79" fillId="9" borderId="19" xfId="0" applyFont="1" applyFill="1" applyBorder="1" applyAlignment="1">
      <alignment horizontal="left" vertical="center"/>
    </xf>
    <xf numFmtId="0" fontId="79" fillId="9" borderId="15" xfId="0" applyFont="1" applyFill="1" applyBorder="1" applyAlignment="1">
      <alignment horizontal="left" vertical="center"/>
    </xf>
    <xf numFmtId="0" fontId="47" fillId="9" borderId="19" xfId="0" applyFont="1" applyFill="1" applyBorder="1" applyAlignment="1">
      <alignment horizontal="left" vertical="center"/>
    </xf>
    <xf numFmtId="0" fontId="47" fillId="9" borderId="15" xfId="0" applyFont="1" applyFill="1" applyBorder="1" applyAlignment="1">
      <alignment horizontal="left" vertical="center"/>
    </xf>
    <xf numFmtId="0" fontId="27" fillId="27" borderId="14" xfId="0" applyFont="1" applyFill="1" applyBorder="1" applyAlignment="1">
      <alignment horizontal="left" vertical="center" wrapText="1"/>
    </xf>
    <xf numFmtId="0" fontId="39" fillId="24" borderId="19" xfId="0" applyFont="1" applyFill="1" applyBorder="1" applyAlignment="1">
      <alignment horizontal="left" vertical="center"/>
    </xf>
    <xf numFmtId="0" fontId="27" fillId="2" borderId="19" xfId="0" applyFont="1" applyFill="1" applyBorder="1" applyAlignment="1">
      <alignment horizontal="left" vertical="center" wrapText="1"/>
    </xf>
    <xf numFmtId="0" fontId="27" fillId="2" borderId="20"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19" xfId="0" applyFont="1" applyFill="1" applyBorder="1" applyAlignment="1">
      <alignment horizontal="left" vertical="top" wrapText="1"/>
    </xf>
    <xf numFmtId="0" fontId="27" fillId="2" borderId="15" xfId="0" applyFont="1" applyFill="1" applyBorder="1" applyAlignment="1">
      <alignment horizontal="left" vertical="top" wrapText="1"/>
    </xf>
    <xf numFmtId="0" fontId="27" fillId="2" borderId="14" xfId="0" applyFont="1" applyFill="1" applyBorder="1" applyAlignment="1">
      <alignment horizontal="left" vertical="center" wrapText="1"/>
    </xf>
    <xf numFmtId="0" fontId="39" fillId="0" borderId="14" xfId="0" applyFont="1" applyBorder="1" applyAlignment="1">
      <alignment horizontal="left" vertical="center"/>
    </xf>
    <xf numFmtId="0" fontId="35" fillId="11" borderId="11" xfId="0" applyFont="1" applyFill="1" applyBorder="1" applyAlignment="1">
      <alignment horizontal="left" vertical="center"/>
    </xf>
    <xf numFmtId="9" fontId="46" fillId="6" borderId="14" xfId="0" applyNumberFormat="1" applyFont="1" applyFill="1" applyBorder="1" applyAlignment="1">
      <alignment horizontal="center"/>
    </xf>
    <xf numFmtId="0" fontId="22" fillId="7" borderId="14" xfId="0" applyFont="1" applyFill="1" applyBorder="1" applyAlignment="1">
      <alignment horizontal="center" vertical="center" wrapText="1"/>
    </xf>
    <xf numFmtId="0" fontId="47" fillId="2" borderId="14" xfId="0" applyFont="1" applyFill="1" applyBorder="1" applyAlignment="1">
      <alignment horizontal="left" vertical="center"/>
    </xf>
    <xf numFmtId="0" fontId="47" fillId="0" borderId="14" xfId="0" applyFont="1" applyBorder="1" applyAlignment="1">
      <alignment horizontal="left"/>
    </xf>
    <xf numFmtId="0" fontId="8" fillId="3" borderId="25" xfId="0" applyFont="1" applyFill="1" applyBorder="1" applyAlignment="1">
      <alignment vertical="center" wrapText="1"/>
    </xf>
    <xf numFmtId="0" fontId="4" fillId="0" borderId="26" xfId="0" applyFont="1" applyBorder="1"/>
    <xf numFmtId="0" fontId="4" fillId="0" borderId="27" xfId="0" applyFont="1" applyBorder="1"/>
    <xf numFmtId="0" fontId="8" fillId="3" borderId="1" xfId="0" applyFont="1" applyFill="1" applyBorder="1" applyAlignment="1">
      <alignment vertical="center" wrapText="1"/>
    </xf>
    <xf numFmtId="0" fontId="4" fillId="0" borderId="3" xfId="0" applyFont="1" applyBorder="1"/>
    <xf numFmtId="0" fontId="4" fillId="0" borderId="2" xfId="0" applyFont="1" applyBorder="1"/>
    <xf numFmtId="9" fontId="8" fillId="3" borderId="10" xfId="2" applyFont="1" applyFill="1" applyBorder="1" applyAlignment="1">
      <alignment horizontal="left" vertical="center" wrapText="1"/>
    </xf>
    <xf numFmtId="9" fontId="4" fillId="0" borderId="12" xfId="2" applyFont="1" applyBorder="1" applyAlignment="1">
      <alignment horizontal="left"/>
    </xf>
    <xf numFmtId="0" fontId="8" fillId="3" borderId="14" xfId="0" applyFont="1" applyFill="1" applyBorder="1" applyAlignment="1">
      <alignment vertical="center" wrapText="1"/>
    </xf>
    <xf numFmtId="0" fontId="4" fillId="0" borderId="14" xfId="0" applyFont="1" applyBorder="1"/>
    <xf numFmtId="0" fontId="35" fillId="11" borderId="14" xfId="0" applyFont="1" applyFill="1" applyBorder="1" applyAlignment="1">
      <alignment horizontal="left" vertical="center"/>
    </xf>
    <xf numFmtId="0" fontId="4" fillId="7" borderId="14" xfId="0" applyFont="1" applyFill="1" applyBorder="1"/>
    <xf numFmtId="9" fontId="18" fillId="6" borderId="15" xfId="0" applyNumberFormat="1" applyFont="1" applyFill="1" applyBorder="1" applyAlignment="1">
      <alignment horizontal="center"/>
    </xf>
    <xf numFmtId="0" fontId="41" fillId="0" borderId="14" xfId="0" applyFont="1" applyBorder="1" applyAlignment="1">
      <alignment horizontal="left" vertical="top" wrapText="1"/>
    </xf>
    <xf numFmtId="0" fontId="15" fillId="0" borderId="14" xfId="0" applyFont="1" applyBorder="1" applyAlignment="1">
      <alignment horizontal="left" vertical="top" wrapText="1"/>
    </xf>
    <xf numFmtId="0" fontId="35" fillId="11" borderId="19" xfId="0" applyFont="1" applyFill="1" applyBorder="1" applyAlignment="1">
      <alignment horizontal="left" vertical="center"/>
    </xf>
    <xf numFmtId="0" fontId="35" fillId="11" borderId="20" xfId="0" applyFont="1" applyFill="1" applyBorder="1" applyAlignment="1">
      <alignment horizontal="left" vertical="center"/>
    </xf>
    <xf numFmtId="0" fontId="35" fillId="11" borderId="15" xfId="0" applyFont="1" applyFill="1" applyBorder="1" applyAlignment="1">
      <alignment horizontal="left" vertical="center"/>
    </xf>
    <xf numFmtId="0" fontId="35" fillId="11" borderId="25" xfId="0" applyFont="1" applyFill="1" applyBorder="1" applyAlignment="1">
      <alignment horizontal="left" vertical="center"/>
    </xf>
    <xf numFmtId="0" fontId="4" fillId="7" borderId="27" xfId="0" applyFont="1" applyFill="1" applyBorder="1"/>
    <xf numFmtId="0" fontId="33" fillId="3" borderId="10" xfId="0" applyFont="1" applyFill="1" applyBorder="1" applyAlignment="1">
      <alignment vertical="center" wrapText="1"/>
    </xf>
    <xf numFmtId="0" fontId="35" fillId="2" borderId="14" xfId="0" applyFont="1" applyFill="1" applyBorder="1" applyAlignment="1">
      <alignment horizontal="center" vertical="center"/>
    </xf>
    <xf numFmtId="0" fontId="8" fillId="3" borderId="14" xfId="0" applyFont="1" applyFill="1" applyBorder="1" applyAlignment="1">
      <alignment horizontal="left" vertical="center" wrapText="1"/>
    </xf>
    <xf numFmtId="0" fontId="35" fillId="11" borderId="19" xfId="0" applyFont="1" applyFill="1" applyBorder="1" applyAlignment="1">
      <alignment horizontal="center" vertical="center"/>
    </xf>
    <xf numFmtId="0" fontId="35" fillId="11" borderId="20" xfId="0" applyFont="1" applyFill="1" applyBorder="1" applyAlignment="1">
      <alignment horizontal="center" vertical="center"/>
    </xf>
    <xf numFmtId="0" fontId="35" fillId="11" borderId="15" xfId="0" applyFont="1" applyFill="1" applyBorder="1" applyAlignment="1">
      <alignment horizontal="center" vertical="center"/>
    </xf>
    <xf numFmtId="0" fontId="35" fillId="0" borderId="28" xfId="0" applyFont="1" applyBorder="1" applyAlignment="1">
      <alignment horizontal="center" vertical="center"/>
    </xf>
    <xf numFmtId="0" fontId="35" fillId="0" borderId="47" xfId="0" applyFont="1" applyBorder="1" applyAlignment="1">
      <alignment horizontal="center" vertical="center"/>
    </xf>
    <xf numFmtId="0" fontId="35" fillId="0" borderId="29" xfId="0" applyFont="1" applyBorder="1" applyAlignment="1">
      <alignment horizontal="center" vertical="center"/>
    </xf>
    <xf numFmtId="0" fontId="35" fillId="0" borderId="22" xfId="0" applyFont="1" applyBorder="1" applyAlignment="1">
      <alignment horizontal="center" vertical="center"/>
    </xf>
    <xf numFmtId="0" fontId="35" fillId="0" borderId="0" xfId="0" applyFont="1" applyAlignment="1">
      <alignment horizontal="center" vertical="center"/>
    </xf>
    <xf numFmtId="0" fontId="35" fillId="0" borderId="23" xfId="0" applyFont="1" applyBorder="1" applyAlignment="1">
      <alignment horizontal="center" vertical="center"/>
    </xf>
    <xf numFmtId="0" fontId="35" fillId="0" borderId="49" xfId="0" applyFont="1" applyBorder="1" applyAlignment="1">
      <alignment horizontal="center" vertical="center"/>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22" fillId="0" borderId="19"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8" xfId="0" applyFont="1" applyBorder="1" applyAlignment="1">
      <alignment horizontal="center" vertical="center" wrapText="1"/>
    </xf>
    <xf numFmtId="0" fontId="22" fillId="24" borderId="19" xfId="0" applyFont="1" applyFill="1" applyBorder="1" applyAlignment="1">
      <alignment horizontal="center" vertical="center" wrapText="1"/>
    </xf>
    <xf numFmtId="0" fontId="22" fillId="24" borderId="15" xfId="0" applyFont="1" applyFill="1" applyBorder="1" applyAlignment="1">
      <alignment horizontal="center" vertical="center" wrapText="1"/>
    </xf>
    <xf numFmtId="0" fontId="9" fillId="0" borderId="0" xfId="0" applyFont="1" applyAlignment="1">
      <alignment horizontal="left" vertical="center"/>
    </xf>
    <xf numFmtId="0" fontId="4" fillId="0" borderId="0" xfId="0" applyFont="1"/>
    <xf numFmtId="0" fontId="15" fillId="0" borderId="19" xfId="0" applyFont="1" applyBorder="1" applyAlignment="1">
      <alignment horizontal="center"/>
    </xf>
    <xf numFmtId="0" fontId="15" fillId="0" borderId="15" xfId="0" applyFont="1" applyBorder="1" applyAlignment="1">
      <alignment horizontal="center"/>
    </xf>
    <xf numFmtId="0" fontId="15" fillId="24" borderId="19" xfId="0" applyFont="1" applyFill="1" applyBorder="1" applyAlignment="1">
      <alignment horizontal="center"/>
    </xf>
    <xf numFmtId="0" fontId="15" fillId="24" borderId="15" xfId="0" applyFont="1" applyFill="1" applyBorder="1" applyAlignment="1">
      <alignment horizontal="center"/>
    </xf>
    <xf numFmtId="0" fontId="35" fillId="27" borderId="19" xfId="0" applyFont="1" applyFill="1" applyBorder="1" applyAlignment="1">
      <alignment horizontal="center" vertical="center"/>
    </xf>
    <xf numFmtId="0" fontId="35" fillId="27" borderId="15" xfId="0" applyFont="1" applyFill="1" applyBorder="1" applyAlignment="1">
      <alignment horizontal="center" vertical="center"/>
    </xf>
    <xf numFmtId="0" fontId="35" fillId="11" borderId="14" xfId="0" applyFont="1" applyFill="1" applyBorder="1" applyAlignment="1">
      <alignment horizontal="center" vertical="center"/>
    </xf>
    <xf numFmtId="0" fontId="33" fillId="0" borderId="28" xfId="0" applyFont="1" applyBorder="1" applyAlignment="1">
      <alignment horizontal="left" vertical="top" wrapText="1"/>
    </xf>
    <xf numFmtId="0" fontId="33" fillId="0" borderId="47" xfId="0" applyFont="1" applyBorder="1" applyAlignment="1">
      <alignment horizontal="left" vertical="top" wrapText="1"/>
    </xf>
    <xf numFmtId="0" fontId="33" fillId="0" borderId="29" xfId="0" applyFont="1" applyBorder="1" applyAlignment="1">
      <alignment horizontal="left" vertical="top" wrapText="1"/>
    </xf>
    <xf numFmtId="0" fontId="33" fillId="0" borderId="22" xfId="0" applyFont="1" applyBorder="1" applyAlignment="1">
      <alignment horizontal="left" vertical="top" wrapText="1"/>
    </xf>
    <xf numFmtId="0" fontId="33" fillId="0" borderId="0" xfId="0" applyFont="1" applyAlignment="1">
      <alignment horizontal="left" vertical="top" wrapText="1"/>
    </xf>
    <xf numFmtId="0" fontId="33" fillId="0" borderId="23" xfId="0" applyFont="1" applyBorder="1" applyAlignment="1">
      <alignment horizontal="left" vertical="top" wrapText="1"/>
    </xf>
    <xf numFmtId="0" fontId="33" fillId="0" borderId="49" xfId="0" applyFont="1" applyBorder="1" applyAlignment="1">
      <alignment horizontal="left" vertical="top" wrapText="1"/>
    </xf>
    <xf numFmtId="0" fontId="33" fillId="0" borderId="36" xfId="0" applyFont="1" applyBorder="1" applyAlignment="1">
      <alignment horizontal="left" vertical="top" wrapText="1"/>
    </xf>
    <xf numFmtId="0" fontId="33" fillId="0" borderId="37" xfId="0" applyFont="1" applyBorder="1" applyAlignment="1">
      <alignment horizontal="left" vertical="top" wrapText="1"/>
    </xf>
    <xf numFmtId="0" fontId="35" fillId="28" borderId="19" xfId="0" applyFont="1" applyFill="1" applyBorder="1" applyAlignment="1">
      <alignment horizontal="center" vertical="center"/>
    </xf>
    <xf numFmtId="0" fontId="35" fillId="28" borderId="15" xfId="0" applyFont="1" applyFill="1" applyBorder="1" applyAlignment="1">
      <alignment horizontal="center" vertical="center"/>
    </xf>
    <xf numFmtId="0" fontId="22" fillId="0" borderId="14" xfId="0" applyFont="1" applyBorder="1" applyAlignment="1">
      <alignment vertical="center" wrapText="1"/>
    </xf>
    <xf numFmtId="0" fontId="22" fillId="0" borderId="14" xfId="0" applyFont="1" applyBorder="1" applyAlignment="1">
      <alignment horizontal="left" vertical="center" wrapText="1"/>
    </xf>
    <xf numFmtId="0" fontId="22" fillId="0" borderId="14" xfId="0" applyFont="1" applyBorder="1" applyAlignment="1">
      <alignment wrapText="1"/>
    </xf>
    <xf numFmtId="0" fontId="59" fillId="16" borderId="14" xfId="0" applyFont="1" applyFill="1" applyBorder="1" applyAlignment="1">
      <alignment horizontal="left" vertical="center"/>
    </xf>
    <xf numFmtId="0" fontId="22" fillId="0" borderId="14" xfId="0" applyFont="1" applyBorder="1" applyAlignment="1">
      <alignment horizontal="left"/>
    </xf>
    <xf numFmtId="0" fontId="15" fillId="0" borderId="9" xfId="0" applyFont="1" applyBorder="1" applyAlignment="1">
      <alignment horizontal="left" vertical="top" wrapText="1"/>
    </xf>
    <xf numFmtId="0" fontId="41" fillId="0" borderId="9" xfId="0" applyFont="1" applyBorder="1" applyAlignment="1">
      <alignment horizontal="left" vertical="top" wrapText="1"/>
    </xf>
    <xf numFmtId="0" fontId="35" fillId="0" borderId="8" xfId="0" applyFont="1" applyBorder="1" applyAlignment="1">
      <alignment horizontal="left" vertical="center"/>
    </xf>
    <xf numFmtId="0" fontId="4" fillId="0" borderId="8" xfId="0" applyFont="1" applyBorder="1"/>
    <xf numFmtId="10" fontId="8" fillId="3" borderId="10" xfId="2" applyNumberFormat="1" applyFont="1" applyFill="1" applyBorder="1" applyAlignment="1">
      <alignment horizontal="left" vertical="center" wrapText="1"/>
    </xf>
    <xf numFmtId="10" fontId="4" fillId="0" borderId="12" xfId="2" applyNumberFormat="1" applyFont="1" applyBorder="1" applyAlignment="1">
      <alignment horizontal="left"/>
    </xf>
    <xf numFmtId="0" fontId="35" fillId="29" borderId="10" xfId="0" applyFont="1" applyFill="1" applyBorder="1" applyAlignment="1">
      <alignment horizontal="left" vertical="center"/>
    </xf>
    <xf numFmtId="0" fontId="4" fillId="9" borderId="11" xfId="0" applyFont="1" applyFill="1" applyBorder="1"/>
    <xf numFmtId="0" fontId="4" fillId="9" borderId="12" xfId="0" applyFont="1" applyFill="1" applyBorder="1"/>
    <xf numFmtId="0" fontId="4" fillId="7" borderId="26" xfId="0" applyFont="1" applyFill="1" applyBorder="1"/>
    <xf numFmtId="0" fontId="36" fillId="4" borderId="14" xfId="0" applyFont="1" applyFill="1" applyBorder="1" applyAlignment="1">
      <alignment horizontal="center" vertical="center" wrapText="1"/>
    </xf>
    <xf numFmtId="0" fontId="38" fillId="21" borderId="14" xfId="0" applyFont="1" applyFill="1" applyBorder="1" applyAlignment="1">
      <alignment horizontal="center" vertical="center"/>
    </xf>
    <xf numFmtId="0" fontId="36" fillId="4" borderId="19" xfId="0" applyFont="1" applyFill="1" applyBorder="1" applyAlignment="1">
      <alignment horizontal="center" vertical="center" wrapText="1"/>
    </xf>
    <xf numFmtId="0" fontId="36" fillId="4" borderId="15" xfId="0" applyFont="1" applyFill="1" applyBorder="1" applyAlignment="1">
      <alignment horizontal="center" vertical="center" wrapText="1"/>
    </xf>
    <xf numFmtId="0" fontId="12" fillId="21" borderId="19" xfId="0" applyFont="1" applyFill="1" applyBorder="1" applyAlignment="1">
      <alignment horizontal="center" vertical="center" wrapText="1"/>
    </xf>
    <xf numFmtId="0" fontId="12" fillId="21" borderId="63" xfId="0" applyFont="1" applyFill="1" applyBorder="1" applyAlignment="1">
      <alignment horizontal="center" vertical="center" wrapText="1"/>
    </xf>
    <xf numFmtId="0" fontId="22" fillId="0" borderId="43" xfId="0" applyFont="1" applyBorder="1" applyAlignment="1">
      <alignment horizontal="center" vertical="center" wrapText="1"/>
    </xf>
    <xf numFmtId="0" fontId="22" fillId="0" borderId="18" xfId="0" applyFont="1" applyBorder="1" applyAlignment="1">
      <alignment horizontal="center" vertical="center" wrapText="1"/>
    </xf>
    <xf numFmtId="9" fontId="8" fillId="3" borderId="10" xfId="0" applyNumberFormat="1" applyFont="1" applyFill="1" applyBorder="1" applyAlignment="1">
      <alignment horizontal="left" vertical="center" wrapText="1"/>
    </xf>
    <xf numFmtId="0" fontId="4" fillId="0" borderId="12" xfId="0" applyFont="1" applyBorder="1" applyAlignment="1">
      <alignment horizontal="left"/>
    </xf>
    <xf numFmtId="0" fontId="50" fillId="11" borderId="10" xfId="0" applyFont="1" applyFill="1" applyBorder="1" applyAlignment="1">
      <alignment horizontal="left" vertical="center" wrapText="1"/>
    </xf>
    <xf numFmtId="0" fontId="22" fillId="0" borderId="44"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4" xfId="0" applyFont="1" applyBorder="1" applyAlignment="1">
      <alignment horizontal="center" vertical="center" wrapText="1"/>
    </xf>
    <xf numFmtId="0" fontId="12" fillId="21" borderId="52" xfId="0" applyFont="1" applyFill="1" applyBorder="1" applyAlignment="1">
      <alignment horizontal="center" vertical="center" wrapText="1"/>
    </xf>
    <xf numFmtId="0" fontId="12" fillId="21" borderId="62" xfId="0" applyFont="1" applyFill="1" applyBorder="1" applyAlignment="1">
      <alignment horizontal="center" vertical="center" wrapText="1"/>
    </xf>
    <xf numFmtId="0" fontId="33" fillId="3" borderId="1" xfId="0" applyFont="1" applyFill="1" applyBorder="1" applyAlignment="1">
      <alignment vertical="center" wrapText="1"/>
    </xf>
    <xf numFmtId="0" fontId="33" fillId="3" borderId="14" xfId="0" applyFont="1" applyFill="1" applyBorder="1" applyAlignment="1">
      <alignment vertical="center" wrapText="1"/>
    </xf>
    <xf numFmtId="0" fontId="28" fillId="0" borderId="14" xfId="0" applyFont="1" applyBorder="1" applyAlignment="1">
      <alignment horizontal="center" vertical="top" wrapText="1"/>
    </xf>
    <xf numFmtId="0" fontId="9" fillId="0" borderId="0" xfId="0" applyFont="1" applyAlignment="1">
      <alignment horizontal="center" vertical="center"/>
    </xf>
    <xf numFmtId="0" fontId="15" fillId="0" borderId="0" xfId="0" applyFont="1" applyAlignment="1">
      <alignment horizontal="center"/>
    </xf>
    <xf numFmtId="0" fontId="8" fillId="3" borderId="10" xfId="0" applyFont="1" applyFill="1" applyBorder="1" applyAlignment="1">
      <alignment horizontal="left" vertical="center" wrapText="1"/>
    </xf>
    <xf numFmtId="0" fontId="27" fillId="8" borderId="14" xfId="0" applyFont="1" applyFill="1" applyBorder="1" applyAlignment="1">
      <alignment horizontal="center" vertical="center" wrapText="1"/>
    </xf>
    <xf numFmtId="10" fontId="46" fillId="6" borderId="22" xfId="0" applyNumberFormat="1" applyFont="1" applyFill="1" applyBorder="1" applyAlignment="1">
      <alignment horizontal="center"/>
    </xf>
    <xf numFmtId="10" fontId="46" fillId="6" borderId="23" xfId="0" applyNumberFormat="1" applyFont="1" applyFill="1" applyBorder="1" applyAlignment="1">
      <alignment horizontal="center"/>
    </xf>
    <xf numFmtId="0" fontId="4" fillId="0" borderId="14" xfId="0" applyFont="1" applyBorder="1" applyAlignment="1">
      <alignment horizontal="center"/>
    </xf>
    <xf numFmtId="2" fontId="46" fillId="6" borderId="14" xfId="0" applyNumberFormat="1" applyFont="1" applyFill="1" applyBorder="1" applyAlignment="1">
      <alignment horizontal="center"/>
    </xf>
    <xf numFmtId="0" fontId="33" fillId="3" borderId="14" xfId="0" applyFont="1" applyFill="1" applyBorder="1" applyAlignment="1">
      <alignment horizontal="left" vertical="center" wrapText="1"/>
    </xf>
    <xf numFmtId="0" fontId="4" fillId="0" borderId="14" xfId="0" applyFont="1" applyBorder="1" applyAlignment="1">
      <alignment horizontal="left"/>
    </xf>
    <xf numFmtId="0" fontId="50" fillId="11" borderId="19" xfId="0" applyFont="1" applyFill="1" applyBorder="1" applyAlignment="1">
      <alignment horizontal="left" vertical="center" wrapText="1"/>
    </xf>
    <xf numFmtId="0" fontId="50" fillId="11" borderId="15" xfId="0" applyFont="1" applyFill="1" applyBorder="1" applyAlignment="1">
      <alignment horizontal="left" vertical="center" wrapText="1"/>
    </xf>
    <xf numFmtId="0" fontId="4" fillId="7" borderId="14" xfId="0" applyFont="1" applyFill="1" applyBorder="1" applyAlignment="1">
      <alignment horizontal="left"/>
    </xf>
    <xf numFmtId="0" fontId="4" fillId="0" borderId="14" xfId="0" applyFont="1" applyBorder="1" applyAlignment="1">
      <alignment horizontal="left" wrapText="1"/>
    </xf>
    <xf numFmtId="0" fontId="19" fillId="20" borderId="14" xfId="0" applyFont="1" applyFill="1" applyBorder="1" applyAlignment="1">
      <alignment horizontal="center" vertical="center" textRotation="90" wrapText="1"/>
    </xf>
    <xf numFmtId="0" fontId="22" fillId="20" borderId="14" xfId="0" applyFont="1" applyFill="1" applyBorder="1" applyAlignment="1">
      <alignment horizontal="center" vertical="center" wrapText="1"/>
    </xf>
    <xf numFmtId="0" fontId="20" fillId="19" borderId="14" xfId="0" applyFont="1" applyFill="1" applyBorder="1" applyAlignment="1">
      <alignment horizontal="center" vertical="center" textRotation="90"/>
    </xf>
    <xf numFmtId="0" fontId="0" fillId="19" borderId="14" xfId="0" applyFill="1" applyBorder="1" applyAlignment="1">
      <alignment horizontal="center" vertical="center" textRotation="90"/>
    </xf>
    <xf numFmtId="0" fontId="22" fillId="15" borderId="14" xfId="0" applyFont="1" applyFill="1" applyBorder="1" applyAlignment="1">
      <alignment horizontal="center" vertical="center" wrapText="1"/>
    </xf>
    <xf numFmtId="0" fontId="20" fillId="15" borderId="14" xfId="0" applyFont="1" applyFill="1" applyBorder="1" applyAlignment="1">
      <alignment horizontal="center" vertical="center" textRotation="90"/>
    </xf>
    <xf numFmtId="0" fontId="0" fillId="15" borderId="14" xfId="0" applyFill="1" applyBorder="1" applyAlignment="1">
      <alignment horizontal="center" vertical="center" textRotation="90"/>
    </xf>
    <xf numFmtId="0" fontId="22" fillId="19" borderId="14" xfId="0" applyFont="1" applyFill="1" applyBorder="1" applyAlignment="1">
      <alignment horizontal="center" vertical="center" wrapText="1"/>
    </xf>
    <xf numFmtId="0" fontId="22" fillId="10" borderId="14" xfId="0" applyFont="1" applyFill="1" applyBorder="1" applyAlignment="1">
      <alignment horizontal="center" vertical="center" wrapText="1"/>
    </xf>
    <xf numFmtId="0" fontId="41" fillId="0" borderId="1" xfId="0" applyFont="1" applyBorder="1" applyAlignment="1">
      <alignment horizontal="center" vertical="top" wrapText="1"/>
    </xf>
    <xf numFmtId="0" fontId="41" fillId="0" borderId="3" xfId="0" applyFont="1" applyBorder="1" applyAlignment="1">
      <alignment horizontal="center" vertical="top" wrapText="1"/>
    </xf>
    <xf numFmtId="0" fontId="41" fillId="0" borderId="2"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6" xfId="0" applyFont="1" applyBorder="1" applyAlignment="1">
      <alignment horizontal="center" vertical="top" wrapText="1"/>
    </xf>
    <xf numFmtId="0" fontId="41" fillId="0" borderId="8" xfId="0" applyFont="1" applyBorder="1" applyAlignment="1">
      <alignment horizontal="center" vertical="top" wrapText="1"/>
    </xf>
    <xf numFmtId="0" fontId="41" fillId="0" borderId="7" xfId="0" applyFont="1" applyBorder="1" applyAlignment="1">
      <alignment horizontal="center" vertical="top" wrapText="1"/>
    </xf>
    <xf numFmtId="0" fontId="50" fillId="11" borderId="14" xfId="0" applyFont="1" applyFill="1" applyBorder="1" applyAlignment="1">
      <alignment horizontal="left" vertical="center" wrapText="1"/>
    </xf>
    <xf numFmtId="0" fontId="35" fillId="11" borderId="9" xfId="0" applyFont="1" applyFill="1" applyBorder="1" applyAlignment="1">
      <alignment horizontal="left" vertical="center"/>
    </xf>
    <xf numFmtId="0" fontId="8" fillId="3" borderId="9" xfId="0" applyFont="1" applyFill="1" applyBorder="1" applyAlignment="1">
      <alignment vertical="center" wrapText="1"/>
    </xf>
    <xf numFmtId="0" fontId="51" fillId="0" borderId="9" xfId="0" applyFont="1" applyBorder="1" applyAlignment="1">
      <alignment horizontal="center" vertical="center"/>
    </xf>
    <xf numFmtId="2" fontId="18" fillId="6" borderId="14" xfId="0" applyNumberFormat="1" applyFont="1" applyFill="1" applyBorder="1" applyAlignment="1">
      <alignment horizontal="center"/>
    </xf>
    <xf numFmtId="0" fontId="35" fillId="2" borderId="19" xfId="0" applyFont="1" applyFill="1" applyBorder="1" applyAlignment="1">
      <alignment horizontal="center" vertical="center"/>
    </xf>
    <xf numFmtId="0" fontId="35" fillId="2" borderId="15" xfId="0" applyFont="1" applyFill="1" applyBorder="1" applyAlignment="1">
      <alignment horizontal="center" vertical="center"/>
    </xf>
    <xf numFmtId="0" fontId="33" fillId="3" borderId="19" xfId="0" applyFont="1" applyFill="1" applyBorder="1" applyAlignment="1">
      <alignment vertical="center" wrapText="1"/>
    </xf>
    <xf numFmtId="0" fontId="33" fillId="3" borderId="20" xfId="0" applyFont="1" applyFill="1" applyBorder="1" applyAlignment="1">
      <alignment vertical="center" wrapText="1"/>
    </xf>
    <xf numFmtId="0" fontId="33" fillId="3" borderId="15" xfId="0" applyFont="1" applyFill="1" applyBorder="1" applyAlignment="1">
      <alignment vertical="center" wrapText="1"/>
    </xf>
    <xf numFmtId="0" fontId="4" fillId="0" borderId="20" xfId="0" applyFont="1" applyBorder="1"/>
    <xf numFmtId="0" fontId="4" fillId="0" borderId="15" xfId="0" applyFont="1" applyBorder="1"/>
    <xf numFmtId="0" fontId="35" fillId="11" borderId="14" xfId="0" applyFont="1" applyFill="1" applyBorder="1" applyAlignment="1">
      <alignment vertical="center"/>
    </xf>
    <xf numFmtId="9" fontId="8" fillId="3" borderId="14" xfId="0" applyNumberFormat="1" applyFont="1" applyFill="1" applyBorder="1" applyAlignment="1">
      <alignment vertical="center" wrapText="1"/>
    </xf>
    <xf numFmtId="0" fontId="50" fillId="11" borderId="14" xfId="0" applyFont="1" applyFill="1" applyBorder="1" applyAlignment="1">
      <alignment vertical="center" wrapText="1"/>
    </xf>
    <xf numFmtId="0" fontId="35" fillId="11" borderId="19" xfId="0" applyFont="1" applyFill="1" applyBorder="1" applyAlignment="1">
      <alignment vertical="center"/>
    </xf>
    <xf numFmtId="0" fontId="35" fillId="11" borderId="15" xfId="0" applyFont="1" applyFill="1" applyBorder="1" applyAlignment="1">
      <alignment vertical="center"/>
    </xf>
    <xf numFmtId="0" fontId="89" fillId="0" borderId="56" xfId="0" applyFont="1" applyBorder="1" applyAlignment="1">
      <alignment horizontal="center" vertical="center"/>
    </xf>
    <xf numFmtId="0" fontId="89" fillId="0" borderId="18" xfId="0" applyFont="1" applyBorder="1" applyAlignment="1">
      <alignment horizontal="center" vertical="center"/>
    </xf>
    <xf numFmtId="0" fontId="67" fillId="0" borderId="48" xfId="0" applyFont="1" applyBorder="1" applyAlignment="1">
      <alignment horizontal="right" vertical="center"/>
    </xf>
    <xf numFmtId="0" fontId="67" fillId="0" borderId="17" xfId="0" applyFont="1" applyBorder="1" applyAlignment="1">
      <alignment horizontal="right" vertical="center"/>
    </xf>
    <xf numFmtId="3" fontId="67" fillId="0" borderId="48" xfId="0" applyNumberFormat="1" applyFont="1" applyBorder="1" applyAlignment="1">
      <alignment horizontal="right" vertical="center"/>
    </xf>
    <xf numFmtId="3" fontId="67" fillId="0" borderId="17" xfId="0" applyNumberFormat="1" applyFont="1" applyBorder="1" applyAlignment="1">
      <alignment horizontal="right" vertical="center"/>
    </xf>
    <xf numFmtId="3" fontId="66" fillId="25" borderId="48" xfId="0" applyNumberFormat="1" applyFont="1" applyFill="1" applyBorder="1" applyAlignment="1">
      <alignment horizontal="right" vertical="center"/>
    </xf>
    <xf numFmtId="3" fontId="66" fillId="25" borderId="17" xfId="0" applyNumberFormat="1" applyFont="1" applyFill="1" applyBorder="1" applyAlignment="1">
      <alignment horizontal="right" vertical="center"/>
    </xf>
    <xf numFmtId="0" fontId="89" fillId="0" borderId="43" xfId="0" applyFont="1" applyBorder="1" applyAlignment="1">
      <alignment horizontal="center" vertical="center"/>
    </xf>
    <xf numFmtId="0" fontId="89" fillId="0" borderId="50" xfId="0" applyFont="1" applyBorder="1" applyAlignment="1">
      <alignment horizontal="center" vertical="center"/>
    </xf>
    <xf numFmtId="0" fontId="89" fillId="0" borderId="44" xfId="0" applyFont="1" applyBorder="1" applyAlignment="1">
      <alignment horizontal="center" vertical="center"/>
    </xf>
    <xf numFmtId="0" fontId="91" fillId="16" borderId="43" xfId="0" applyFont="1" applyFill="1" applyBorder="1" applyAlignment="1">
      <alignment horizontal="center" vertical="center"/>
    </xf>
    <xf numFmtId="0" fontId="91" fillId="16" borderId="50" xfId="0" applyFont="1" applyFill="1" applyBorder="1" applyAlignment="1">
      <alignment horizontal="center" vertical="center"/>
    </xf>
    <xf numFmtId="0" fontId="91" fillId="16" borderId="18" xfId="0" applyFont="1" applyFill="1" applyBorder="1" applyAlignment="1">
      <alignment horizontal="center" vertical="center"/>
    </xf>
    <xf numFmtId="0" fontId="91" fillId="16" borderId="16" xfId="0" applyFont="1" applyFill="1" applyBorder="1" applyAlignment="1">
      <alignment horizontal="center" vertical="center"/>
    </xf>
    <xf numFmtId="9" fontId="8" fillId="3" borderId="14" xfId="2" applyFont="1" applyFill="1" applyBorder="1" applyAlignment="1">
      <alignment horizontal="left" vertical="center" wrapText="1"/>
    </xf>
    <xf numFmtId="0" fontId="38" fillId="0" borderId="14" xfId="0" applyFont="1" applyBorder="1" applyAlignment="1">
      <alignment horizontal="center" vertical="center" wrapText="1"/>
    </xf>
    <xf numFmtId="0" fontId="91" fillId="16" borderId="14" xfId="0" applyFont="1" applyFill="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16" borderId="14" xfId="0" applyFill="1" applyBorder="1" applyAlignment="1">
      <alignment horizontal="center"/>
    </xf>
    <xf numFmtId="0" fontId="20" fillId="16" borderId="19" xfId="0" applyFont="1" applyFill="1" applyBorder="1" applyAlignment="1">
      <alignment horizontal="center"/>
    </xf>
    <xf numFmtId="0" fontId="0" fillId="16" borderId="15" xfId="0" applyFill="1" applyBorder="1" applyAlignment="1">
      <alignment horizontal="center"/>
    </xf>
    <xf numFmtId="0" fontId="41" fillId="0" borderId="24" xfId="0" applyFont="1" applyBorder="1" applyAlignment="1">
      <alignment horizontal="center" vertical="top" wrapText="1"/>
    </xf>
    <xf numFmtId="0" fontId="41" fillId="0" borderId="21" xfId="0" applyFont="1" applyBorder="1" applyAlignment="1">
      <alignment horizontal="center" vertical="top" wrapText="1"/>
    </xf>
    <xf numFmtId="10" fontId="18" fillId="6" borderId="14" xfId="0" applyNumberFormat="1" applyFont="1" applyFill="1" applyBorder="1" applyAlignment="1">
      <alignment horizontal="center"/>
    </xf>
    <xf numFmtId="0" fontId="33" fillId="0" borderId="0" xfId="0" applyFont="1" applyAlignment="1">
      <alignment horizontal="center"/>
    </xf>
    <xf numFmtId="0" fontId="4" fillId="0" borderId="12" xfId="0" applyFont="1" applyBorder="1" applyAlignment="1">
      <alignment wrapText="1"/>
    </xf>
    <xf numFmtId="0" fontId="8" fillId="3" borderId="11" xfId="0" applyFont="1" applyFill="1" applyBorder="1" applyAlignment="1">
      <alignment vertical="center" wrapText="1"/>
    </xf>
    <xf numFmtId="0" fontId="8" fillId="3" borderId="12" xfId="0" applyFont="1" applyFill="1" applyBorder="1" applyAlignment="1">
      <alignment vertical="center" wrapText="1"/>
    </xf>
    <xf numFmtId="0" fontId="35" fillId="37" borderId="14" xfId="0" applyFont="1" applyFill="1" applyBorder="1" applyAlignment="1">
      <alignment vertical="center"/>
    </xf>
    <xf numFmtId="0" fontId="8" fillId="3" borderId="19" xfId="0" applyFont="1" applyFill="1" applyBorder="1" applyAlignment="1">
      <alignment vertical="center" wrapText="1"/>
    </xf>
    <xf numFmtId="0" fontId="8" fillId="3" borderId="15" xfId="0" applyFont="1" applyFill="1" applyBorder="1" applyAlignment="1">
      <alignment vertical="center" wrapText="1"/>
    </xf>
    <xf numFmtId="0" fontId="4" fillId="0" borderId="19" xfId="0" applyFont="1" applyBorder="1" applyAlignment="1">
      <alignment horizontal="left"/>
    </xf>
    <xf numFmtId="0" fontId="4" fillId="0" borderId="20" xfId="0" applyFont="1" applyBorder="1" applyAlignment="1">
      <alignment horizontal="left"/>
    </xf>
    <xf numFmtId="0" fontId="4" fillId="0" borderId="15" xfId="0" applyFont="1" applyBorder="1" applyAlignment="1">
      <alignment horizontal="left"/>
    </xf>
    <xf numFmtId="0" fontId="0" fillId="0" borderId="19" xfId="0" applyBorder="1" applyAlignment="1">
      <alignment horizontal="left"/>
    </xf>
    <xf numFmtId="0" fontId="33" fillId="3" borderId="19" xfId="0" applyFont="1" applyFill="1" applyBorder="1" applyAlignment="1">
      <alignment horizontal="left" vertical="center" wrapText="1"/>
    </xf>
    <xf numFmtId="0" fontId="33" fillId="3" borderId="20" xfId="0" applyFont="1" applyFill="1" applyBorder="1" applyAlignment="1">
      <alignment horizontal="left" vertical="center" wrapText="1"/>
    </xf>
    <xf numFmtId="0" fontId="33" fillId="3" borderId="15" xfId="0" applyFont="1" applyFill="1" applyBorder="1" applyAlignment="1">
      <alignment horizontal="left" vertical="center" wrapText="1"/>
    </xf>
    <xf numFmtId="0" fontId="8" fillId="3" borderId="19" xfId="0" applyFont="1" applyFill="1" applyBorder="1" applyAlignment="1">
      <alignment horizontal="left" vertical="center" wrapText="1"/>
    </xf>
    <xf numFmtId="0" fontId="8" fillId="3" borderId="15" xfId="0" applyFont="1" applyFill="1" applyBorder="1" applyAlignment="1">
      <alignment horizontal="left" vertical="center" wrapText="1"/>
    </xf>
    <xf numFmtId="0" fontId="33" fillId="0" borderId="36" xfId="0" applyFont="1" applyBorder="1" applyAlignment="1">
      <alignment horizontal="center"/>
    </xf>
    <xf numFmtId="0" fontId="33" fillId="0" borderId="37" xfId="0" applyFont="1" applyBorder="1" applyAlignment="1">
      <alignment horizontal="center"/>
    </xf>
    <xf numFmtId="0" fontId="36" fillId="7" borderId="15" xfId="0" applyFont="1" applyFill="1" applyBorder="1" applyAlignment="1">
      <alignment horizontal="center" vertical="center" wrapText="1"/>
    </xf>
    <xf numFmtId="0" fontId="35" fillId="29" borderId="0" xfId="0" applyFont="1" applyFill="1" applyAlignment="1">
      <alignment horizontal="left" vertical="center"/>
    </xf>
    <xf numFmtId="0" fontId="4" fillId="9" borderId="0" xfId="0" applyFont="1" applyFill="1"/>
    <xf numFmtId="0" fontId="41" fillId="0" borderId="28" xfId="0" applyFont="1" applyBorder="1" applyAlignment="1">
      <alignment horizontal="center" vertical="top" wrapText="1"/>
    </xf>
    <xf numFmtId="0" fontId="41" fillId="0" borderId="47" xfId="0" applyFont="1" applyBorder="1" applyAlignment="1">
      <alignment horizontal="center" vertical="top" wrapText="1"/>
    </xf>
    <xf numFmtId="0" fontId="41" fillId="0" borderId="29" xfId="0" applyFont="1" applyBorder="1" applyAlignment="1">
      <alignment horizontal="center" vertical="top" wrapText="1"/>
    </xf>
    <xf numFmtId="0" fontId="41" fillId="0" borderId="22" xfId="0" applyFont="1" applyBorder="1" applyAlignment="1">
      <alignment horizontal="center" vertical="top" wrapText="1"/>
    </xf>
    <xf numFmtId="0" fontId="41" fillId="0" borderId="23" xfId="0" applyFont="1" applyBorder="1" applyAlignment="1">
      <alignment horizontal="center" vertical="top" wrapText="1"/>
    </xf>
    <xf numFmtId="0" fontId="41" fillId="0" borderId="49" xfId="0" applyFont="1" applyBorder="1" applyAlignment="1">
      <alignment horizontal="center" vertical="top" wrapText="1"/>
    </xf>
    <xf numFmtId="0" fontId="41" fillId="0" borderId="36" xfId="0" applyFont="1" applyBorder="1" applyAlignment="1">
      <alignment horizontal="center" vertical="top" wrapText="1"/>
    </xf>
    <xf numFmtId="0" fontId="41" fillId="0" borderId="37" xfId="0" applyFont="1" applyBorder="1" applyAlignment="1">
      <alignment horizontal="center" vertical="top" wrapText="1"/>
    </xf>
    <xf numFmtId="2" fontId="18" fillId="6" borderId="21" xfId="0" applyNumberFormat="1" applyFont="1" applyFill="1" applyBorder="1" applyAlignment="1">
      <alignment horizontal="center"/>
    </xf>
    <xf numFmtId="0" fontId="0" fillId="0" borderId="19" xfId="0" applyBorder="1" applyAlignment="1">
      <alignment horizontal="left" wrapText="1"/>
    </xf>
    <xf numFmtId="0" fontId="35" fillId="37" borderId="10" xfId="0" applyFont="1" applyFill="1" applyBorder="1" applyAlignment="1">
      <alignment horizontal="left" vertical="center"/>
    </xf>
    <xf numFmtId="0" fontId="35" fillId="37" borderId="11" xfId="0" applyFont="1" applyFill="1" applyBorder="1" applyAlignment="1">
      <alignment horizontal="left" vertical="center"/>
    </xf>
    <xf numFmtId="0" fontId="35" fillId="37" borderId="12" xfId="0" applyFont="1" applyFill="1" applyBorder="1" applyAlignment="1">
      <alignment horizontal="left" vertical="center"/>
    </xf>
    <xf numFmtId="0" fontId="4" fillId="0" borderId="14" xfId="0" applyFont="1" applyBorder="1" applyAlignment="1">
      <alignment wrapText="1"/>
    </xf>
    <xf numFmtId="9" fontId="8" fillId="3" borderId="19" xfId="0" applyNumberFormat="1" applyFont="1" applyFill="1" applyBorder="1" applyAlignment="1">
      <alignment vertical="center" wrapText="1"/>
    </xf>
    <xf numFmtId="9" fontId="8" fillId="3" borderId="15" xfId="0" applyNumberFormat="1" applyFont="1" applyFill="1" applyBorder="1" applyAlignment="1">
      <alignment vertical="center" wrapText="1"/>
    </xf>
    <xf numFmtId="0" fontId="109" fillId="7" borderId="14" xfId="0" applyFont="1" applyFill="1" applyBorder="1"/>
    <xf numFmtId="9" fontId="8" fillId="3" borderId="14" xfId="0" applyNumberFormat="1" applyFont="1" applyFill="1" applyBorder="1" applyAlignment="1">
      <alignment horizontal="left" vertical="center" wrapText="1"/>
    </xf>
    <xf numFmtId="9" fontId="8" fillId="3" borderId="19" xfId="0" applyNumberFormat="1" applyFont="1" applyFill="1" applyBorder="1" applyAlignment="1">
      <alignment horizontal="left" vertical="center" wrapText="1"/>
    </xf>
    <xf numFmtId="9" fontId="8" fillId="3" borderId="15" xfId="0" applyNumberFormat="1" applyFont="1" applyFill="1" applyBorder="1" applyAlignment="1">
      <alignment horizontal="left" vertical="center" wrapText="1"/>
    </xf>
    <xf numFmtId="0" fontId="0" fillId="0" borderId="14" xfId="0" applyBorder="1" applyAlignment="1">
      <alignment horizontal="left" wrapText="1"/>
    </xf>
    <xf numFmtId="0" fontId="35" fillId="11" borderId="14" xfId="0" applyFont="1" applyFill="1" applyBorder="1" applyAlignment="1">
      <alignment horizontal="left" vertical="top"/>
    </xf>
    <xf numFmtId="0" fontId="4" fillId="0" borderId="14" xfId="0" applyFont="1" applyBorder="1" applyAlignment="1">
      <alignment horizontal="left" vertical="top"/>
    </xf>
    <xf numFmtId="0" fontId="33" fillId="3" borderId="19" xfId="0" applyFont="1" applyFill="1" applyBorder="1" applyAlignment="1">
      <alignment horizontal="left" vertical="top" wrapText="1"/>
    </xf>
    <xf numFmtId="0" fontId="33" fillId="3" borderId="20" xfId="0" applyFont="1" applyFill="1" applyBorder="1" applyAlignment="1">
      <alignment horizontal="left" vertical="top" wrapText="1"/>
    </xf>
    <xf numFmtId="0" fontId="33" fillId="3" borderId="15" xfId="0" applyFont="1" applyFill="1" applyBorder="1" applyAlignment="1">
      <alignment horizontal="left" vertical="top" wrapText="1"/>
    </xf>
    <xf numFmtId="0" fontId="8" fillId="3" borderId="19" xfId="0" applyFont="1" applyFill="1" applyBorder="1" applyAlignment="1">
      <alignment horizontal="left" vertical="top" wrapText="1"/>
    </xf>
    <xf numFmtId="0" fontId="8" fillId="3" borderId="15" xfId="0" applyFont="1" applyFill="1" applyBorder="1" applyAlignment="1">
      <alignment horizontal="left" vertical="top" wrapText="1"/>
    </xf>
    <xf numFmtId="0" fontId="4" fillId="7" borderId="14" xfId="0" applyFont="1" applyFill="1" applyBorder="1" applyAlignment="1">
      <alignment horizontal="left" vertical="top"/>
    </xf>
    <xf numFmtId="0" fontId="8" fillId="3" borderId="14" xfId="0" applyFont="1" applyFill="1" applyBorder="1" applyAlignment="1">
      <alignment horizontal="left" vertical="top" wrapText="1"/>
    </xf>
    <xf numFmtId="0" fontId="50" fillId="11" borderId="14" xfId="0" applyFont="1" applyFill="1" applyBorder="1" applyAlignment="1">
      <alignment horizontal="left" vertical="top" wrapText="1"/>
    </xf>
    <xf numFmtId="0" fontId="33" fillId="3" borderId="14" xfId="0" applyFont="1" applyFill="1" applyBorder="1" applyAlignment="1">
      <alignment horizontal="left" vertical="top" wrapText="1"/>
    </xf>
    <xf numFmtId="0" fontId="50" fillId="11" borderId="19" xfId="0" applyFont="1" applyFill="1" applyBorder="1" applyAlignment="1">
      <alignment vertical="center" wrapText="1"/>
    </xf>
    <xf numFmtId="0" fontId="50" fillId="11" borderId="15" xfId="0" applyFont="1" applyFill="1" applyBorder="1" applyAlignment="1">
      <alignment vertical="center" wrapText="1"/>
    </xf>
    <xf numFmtId="0" fontId="0" fillId="0" borderId="19" xfId="0" applyBorder="1" applyAlignment="1">
      <alignment wrapText="1"/>
    </xf>
    <xf numFmtId="0" fontId="0" fillId="0" borderId="20" xfId="0" applyBorder="1" applyAlignment="1">
      <alignment wrapText="1"/>
    </xf>
    <xf numFmtId="0" fontId="0" fillId="0" borderId="15" xfId="0" applyBorder="1" applyAlignment="1">
      <alignment wrapText="1"/>
    </xf>
    <xf numFmtId="0" fontId="4" fillId="0" borderId="19" xfId="0" applyFont="1" applyBorder="1" applyAlignment="1">
      <alignment horizontal="left" vertical="top"/>
    </xf>
    <xf numFmtId="0" fontId="4" fillId="0" borderId="20" xfId="0" applyFont="1" applyBorder="1" applyAlignment="1">
      <alignment horizontal="left" vertical="top"/>
    </xf>
    <xf numFmtId="0" fontId="4" fillId="0" borderId="15" xfId="0" applyFont="1" applyBorder="1" applyAlignment="1">
      <alignment horizontal="left" vertical="top"/>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15" xfId="0" applyBorder="1" applyAlignment="1">
      <alignment horizontal="left" vertical="top" wrapText="1"/>
    </xf>
    <xf numFmtId="0" fontId="35" fillId="11" borderId="19" xfId="0" applyFont="1" applyFill="1" applyBorder="1" applyAlignment="1">
      <alignment horizontal="left" vertical="top"/>
    </xf>
    <xf numFmtId="0" fontId="35" fillId="11" borderId="15" xfId="0" applyFont="1" applyFill="1" applyBorder="1" applyAlignment="1">
      <alignment horizontal="left" vertical="top"/>
    </xf>
    <xf numFmtId="0" fontId="35" fillId="0" borderId="14" xfId="0" applyFont="1" applyBorder="1" applyAlignment="1">
      <alignment horizontal="center" vertical="center"/>
    </xf>
    <xf numFmtId="0" fontId="67" fillId="5" borderId="48" xfId="0" applyFont="1" applyFill="1" applyBorder="1" applyAlignment="1">
      <alignment horizontal="center" vertical="center" wrapText="1"/>
    </xf>
    <xf numFmtId="0" fontId="67" fillId="5" borderId="45" xfId="0" applyFont="1" applyFill="1" applyBorder="1" applyAlignment="1">
      <alignment horizontal="center" vertical="center" wrapText="1"/>
    </xf>
    <xf numFmtId="0" fontId="67" fillId="5" borderId="54" xfId="0" applyFont="1" applyFill="1" applyBorder="1" applyAlignment="1">
      <alignment horizontal="center" vertical="center" wrapText="1"/>
    </xf>
    <xf numFmtId="0" fontId="67" fillId="5" borderId="55" xfId="0" applyFont="1" applyFill="1" applyBorder="1" applyAlignment="1">
      <alignment horizontal="center" vertical="center" wrapText="1"/>
    </xf>
    <xf numFmtId="0" fontId="67" fillId="5" borderId="17" xfId="0" applyFont="1" applyFill="1" applyBorder="1" applyAlignment="1">
      <alignment horizontal="center" vertical="center" wrapText="1"/>
    </xf>
    <xf numFmtId="0" fontId="67" fillId="5" borderId="16" xfId="0" applyFont="1" applyFill="1" applyBorder="1" applyAlignment="1">
      <alignment horizontal="center" vertical="center" wrapText="1"/>
    </xf>
    <xf numFmtId="0" fontId="90" fillId="22" borderId="48" xfId="0" applyFont="1" applyFill="1" applyBorder="1" applyAlignment="1">
      <alignment horizontal="center" vertical="center" wrapText="1"/>
    </xf>
    <xf numFmtId="0" fontId="90" fillId="22" borderId="17" xfId="0" applyFont="1" applyFill="1" applyBorder="1" applyAlignment="1">
      <alignment horizontal="center" vertical="center" wrapText="1"/>
    </xf>
    <xf numFmtId="0" fontId="90" fillId="0" borderId="48" xfId="0" applyFont="1" applyBorder="1" applyAlignment="1">
      <alignment horizontal="center" vertical="center" wrapText="1"/>
    </xf>
    <xf numFmtId="0" fontId="90" fillId="0" borderId="54" xfId="0" applyFont="1" applyBorder="1" applyAlignment="1">
      <alignment horizontal="center" vertical="center" wrapText="1"/>
    </xf>
    <xf numFmtId="0" fontId="57" fillId="4" borderId="43" xfId="0" applyFont="1" applyFill="1" applyBorder="1" applyAlignment="1">
      <alignment horizontal="center" vertical="center" wrapText="1"/>
    </xf>
    <xf numFmtId="0" fontId="57" fillId="4" borderId="50" xfId="0" applyFont="1" applyFill="1" applyBorder="1" applyAlignment="1">
      <alignment horizontal="center" vertical="center" wrapText="1"/>
    </xf>
    <xf numFmtId="0" fontId="89" fillId="4" borderId="43" xfId="0" applyFont="1" applyFill="1" applyBorder="1" applyAlignment="1">
      <alignment horizontal="center" vertical="center"/>
    </xf>
    <xf numFmtId="0" fontId="89" fillId="4" borderId="50" xfId="0" applyFont="1" applyFill="1" applyBorder="1" applyAlignment="1">
      <alignment horizontal="center" vertical="center"/>
    </xf>
    <xf numFmtId="0" fontId="89" fillId="4" borderId="18" xfId="0" applyFont="1" applyFill="1" applyBorder="1" applyAlignment="1">
      <alignment horizontal="center" vertical="center"/>
    </xf>
    <xf numFmtId="0" fontId="52" fillId="0" borderId="1" xfId="0" applyFont="1" applyBorder="1" applyAlignment="1">
      <alignment horizontal="left" vertical="top" wrapText="1"/>
    </xf>
    <xf numFmtId="0" fontId="22" fillId="0" borderId="14" xfId="0" applyFont="1" applyBorder="1" applyAlignment="1">
      <alignment horizontal="center" wrapText="1"/>
    </xf>
    <xf numFmtId="0" fontId="35" fillId="11" borderId="10" xfId="0" applyFont="1" applyFill="1" applyBorder="1" applyAlignment="1">
      <alignment vertical="center"/>
    </xf>
    <xf numFmtId="0" fontId="0" fillId="0" borderId="14" xfId="0" applyBorder="1" applyAlignment="1">
      <alignment horizontal="left"/>
    </xf>
    <xf numFmtId="10" fontId="8" fillId="3" borderId="14" xfId="0" applyNumberFormat="1" applyFont="1" applyFill="1" applyBorder="1" applyAlignment="1">
      <alignment horizontal="left" vertical="center" wrapText="1"/>
    </xf>
    <xf numFmtId="10" fontId="4" fillId="0" borderId="14" xfId="0" applyNumberFormat="1" applyFont="1" applyBorder="1" applyAlignment="1">
      <alignment horizontal="left"/>
    </xf>
    <xf numFmtId="0" fontId="35" fillId="37" borderId="14" xfId="0" applyFont="1" applyFill="1" applyBorder="1" applyAlignment="1">
      <alignment horizontal="left" vertical="center"/>
    </xf>
    <xf numFmtId="0" fontId="50" fillId="11" borderId="19" xfId="0" applyFont="1" applyFill="1" applyBorder="1" applyAlignment="1">
      <alignment horizontal="left" vertical="top" wrapText="1"/>
    </xf>
    <xf numFmtId="0" fontId="50" fillId="11" borderId="15" xfId="0" applyFont="1" applyFill="1" applyBorder="1" applyAlignment="1">
      <alignment horizontal="left" vertical="top" wrapText="1"/>
    </xf>
    <xf numFmtId="10" fontId="33" fillId="3" borderId="14" xfId="0" applyNumberFormat="1" applyFont="1" applyFill="1" applyBorder="1" applyAlignment="1">
      <alignment horizontal="left" vertical="top" wrapText="1"/>
    </xf>
    <xf numFmtId="10" fontId="4" fillId="0" borderId="14" xfId="0" applyNumberFormat="1" applyFont="1" applyBorder="1" applyAlignment="1">
      <alignment horizontal="left" vertical="top"/>
    </xf>
    <xf numFmtId="10" fontId="33" fillId="3" borderId="19" xfId="0" applyNumberFormat="1" applyFont="1" applyFill="1" applyBorder="1" applyAlignment="1">
      <alignment horizontal="left" vertical="top" wrapText="1"/>
    </xf>
    <xf numFmtId="10" fontId="33" fillId="3" borderId="15" xfId="0" applyNumberFormat="1" applyFont="1" applyFill="1" applyBorder="1" applyAlignment="1">
      <alignment horizontal="left" vertical="top" wrapText="1"/>
    </xf>
    <xf numFmtId="2" fontId="18" fillId="6" borderId="19" xfId="0" applyNumberFormat="1" applyFont="1" applyFill="1" applyBorder="1" applyAlignment="1">
      <alignment horizontal="center"/>
    </xf>
    <xf numFmtId="0" fontId="4" fillId="0" borderId="19" xfId="0" applyFont="1" applyBorder="1" applyAlignment="1">
      <alignment horizontal="center"/>
    </xf>
    <xf numFmtId="0" fontId="22" fillId="0" borderId="20" xfId="0" applyFont="1" applyBorder="1" applyAlignment="1">
      <alignment horizontal="center" vertical="center" wrapText="1"/>
    </xf>
    <xf numFmtId="0" fontId="57" fillId="7" borderId="11" xfId="0" applyFont="1" applyFill="1" applyBorder="1"/>
    <xf numFmtId="0" fontId="57" fillId="7" borderId="12" xfId="0" applyFont="1" applyFill="1" applyBorder="1"/>
    <xf numFmtId="166" fontId="22" fillId="0" borderId="14" xfId="3" applyFont="1" applyBorder="1" applyAlignment="1">
      <alignment horizontal="center" vertical="center" wrapText="1"/>
    </xf>
    <xf numFmtId="0" fontId="35" fillId="11" borderId="19" xfId="0" applyFont="1" applyFill="1" applyBorder="1" applyAlignment="1">
      <alignment vertical="top"/>
    </xf>
    <xf numFmtId="0" fontId="35" fillId="11" borderId="15" xfId="0" applyFont="1" applyFill="1" applyBorder="1" applyAlignment="1">
      <alignment vertical="top"/>
    </xf>
    <xf numFmtId="0" fontId="4" fillId="0" borderId="19" xfId="0" applyFont="1" applyBorder="1" applyAlignment="1">
      <alignment vertical="top"/>
    </xf>
    <xf numFmtId="0" fontId="4" fillId="0" borderId="20" xfId="0" applyFont="1" applyBorder="1" applyAlignment="1">
      <alignment vertical="top"/>
    </xf>
    <xf numFmtId="0" fontId="4" fillId="0" borderId="15" xfId="0" applyFont="1" applyBorder="1" applyAlignment="1">
      <alignment vertical="top"/>
    </xf>
    <xf numFmtId="0" fontId="8" fillId="3" borderId="19" xfId="0" applyFont="1" applyFill="1" applyBorder="1" applyAlignment="1">
      <alignment vertical="top" wrapText="1"/>
    </xf>
    <xf numFmtId="0" fontId="8" fillId="3" borderId="15" xfId="0" applyFont="1" applyFill="1" applyBorder="1" applyAlignment="1">
      <alignment vertical="top" wrapText="1"/>
    </xf>
    <xf numFmtId="0" fontId="50" fillId="11" borderId="19" xfId="0" applyFont="1" applyFill="1" applyBorder="1" applyAlignment="1">
      <alignment vertical="top" wrapText="1"/>
    </xf>
    <xf numFmtId="0" fontId="50" fillId="11" borderId="15" xfId="0" applyFont="1" applyFill="1" applyBorder="1" applyAlignment="1">
      <alignment vertical="top" wrapText="1"/>
    </xf>
    <xf numFmtId="0" fontId="33" fillId="3" borderId="19" xfId="0" applyFont="1" applyFill="1" applyBorder="1" applyAlignment="1">
      <alignment vertical="top" wrapText="1"/>
    </xf>
    <xf numFmtId="0" fontId="33" fillId="3" borderId="20" xfId="0" applyFont="1" applyFill="1" applyBorder="1" applyAlignment="1">
      <alignment vertical="top" wrapText="1"/>
    </xf>
    <xf numFmtId="0" fontId="33" fillId="3" borderId="15" xfId="0" applyFont="1" applyFill="1" applyBorder="1" applyAlignment="1">
      <alignment vertical="top" wrapText="1"/>
    </xf>
    <xf numFmtId="0" fontId="35" fillId="0" borderId="0" xfId="0" applyFont="1" applyAlignment="1">
      <alignment horizontal="left" vertical="center"/>
    </xf>
    <xf numFmtId="0" fontId="35" fillId="11" borderId="14" xfId="0" applyFont="1" applyFill="1" applyBorder="1" applyAlignment="1">
      <alignment vertical="top"/>
    </xf>
    <xf numFmtId="0" fontId="4" fillId="7" borderId="14" xfId="0" applyFont="1" applyFill="1" applyBorder="1" applyAlignment="1">
      <alignment vertical="top"/>
    </xf>
    <xf numFmtId="0" fontId="8" fillId="3" borderId="14" xfId="0" applyFont="1" applyFill="1" applyBorder="1" applyAlignment="1">
      <alignment vertical="top" wrapText="1"/>
    </xf>
    <xf numFmtId="0" fontId="4" fillId="0" borderId="14" xfId="0" applyFont="1" applyBorder="1" applyAlignment="1">
      <alignment vertical="top"/>
    </xf>
    <xf numFmtId="0" fontId="50" fillId="11" borderId="14" xfId="0" applyFont="1" applyFill="1" applyBorder="1" applyAlignment="1">
      <alignment vertical="top" wrapText="1"/>
    </xf>
    <xf numFmtId="0" fontId="33" fillId="3" borderId="14" xfId="0" applyFont="1" applyFill="1" applyBorder="1" applyAlignment="1">
      <alignment vertical="top" wrapText="1"/>
    </xf>
    <xf numFmtId="0" fontId="4" fillId="7" borderId="11" xfId="0" applyFont="1" applyFill="1" applyBorder="1" applyAlignment="1">
      <alignment horizontal="left"/>
    </xf>
    <xf numFmtId="0" fontId="4" fillId="7" borderId="12" xfId="0" applyFont="1" applyFill="1" applyBorder="1" applyAlignment="1">
      <alignment horizontal="left"/>
    </xf>
    <xf numFmtId="167" fontId="36" fillId="7" borderId="14" xfId="0" applyNumberFormat="1" applyFont="1" applyFill="1" applyBorder="1" applyAlignment="1">
      <alignment horizontal="center" vertical="center" wrapText="1"/>
    </xf>
    <xf numFmtId="0" fontId="39" fillId="0" borderId="14"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0" xfId="0" applyFont="1" applyBorder="1" applyAlignment="1">
      <alignment horizontal="center" vertical="center" wrapText="1"/>
    </xf>
    <xf numFmtId="0" fontId="8" fillId="3" borderId="0" xfId="0" applyFont="1" applyFill="1" applyAlignment="1">
      <alignment vertical="center" wrapText="1"/>
    </xf>
    <xf numFmtId="0" fontId="22" fillId="9" borderId="24" xfId="0" applyFont="1" applyFill="1" applyBorder="1" applyAlignment="1">
      <alignment horizontal="center" vertical="center" wrapText="1"/>
    </xf>
    <xf numFmtId="0" fontId="22" fillId="9" borderId="14" xfId="0" applyFont="1" applyFill="1" applyBorder="1" applyAlignment="1">
      <alignment horizontal="center" vertical="center" wrapText="1"/>
    </xf>
    <xf numFmtId="0" fontId="22" fillId="9" borderId="19" xfId="0" applyFont="1" applyFill="1" applyBorder="1" applyAlignment="1">
      <alignment horizontal="center" vertical="center" wrapText="1"/>
    </xf>
    <xf numFmtId="0" fontId="22" fillId="9" borderId="15" xfId="0" applyFont="1" applyFill="1" applyBorder="1" applyAlignment="1">
      <alignment horizontal="center" vertical="center" wrapText="1"/>
    </xf>
    <xf numFmtId="0" fontId="8" fillId="0" borderId="0" xfId="0" applyFont="1" applyAlignment="1">
      <alignment vertical="center" wrapText="1"/>
    </xf>
    <xf numFmtId="49" fontId="18" fillId="12" borderId="14" xfId="0" applyNumberFormat="1" applyFont="1" applyFill="1" applyBorder="1" applyAlignment="1">
      <alignment horizontal="center" vertical="center"/>
    </xf>
    <xf numFmtId="49" fontId="35" fillId="2" borderId="14" xfId="0" applyNumberFormat="1" applyFont="1" applyFill="1" applyBorder="1" applyAlignment="1">
      <alignment horizontal="center" vertical="center"/>
    </xf>
    <xf numFmtId="49" fontId="4" fillId="0" borderId="14" xfId="0" applyNumberFormat="1" applyFont="1" applyBorder="1" applyAlignment="1">
      <alignment horizontal="center"/>
    </xf>
    <xf numFmtId="49" fontId="22" fillId="0" borderId="14" xfId="0" applyNumberFormat="1" applyFont="1" applyBorder="1" applyAlignment="1">
      <alignment horizontal="center" vertical="center" wrapText="1"/>
    </xf>
    <xf numFmtId="49" fontId="36" fillId="14" borderId="14" xfId="0" applyNumberFormat="1" applyFont="1" applyFill="1" applyBorder="1" applyAlignment="1">
      <alignment horizontal="center" vertical="center" wrapText="1"/>
    </xf>
    <xf numFmtId="0" fontId="51" fillId="0" borderId="14" xfId="0" applyFont="1" applyBorder="1" applyAlignment="1">
      <alignment horizontal="center" vertical="center"/>
    </xf>
    <xf numFmtId="0" fontId="0" fillId="0" borderId="20" xfId="0" applyBorder="1"/>
    <xf numFmtId="0" fontId="0" fillId="0" borderId="15" xfId="0" applyBorder="1"/>
    <xf numFmtId="0" fontId="0" fillId="0" borderId="19" xfId="0" applyBorder="1"/>
    <xf numFmtId="9" fontId="8" fillId="3" borderId="14" xfId="0" applyNumberFormat="1" applyFont="1" applyFill="1" applyBorder="1" applyAlignment="1">
      <alignment horizontal="center" vertical="center" wrapText="1"/>
    </xf>
    <xf numFmtId="0" fontId="57" fillId="7" borderId="14" xfId="0" applyFont="1" applyFill="1" applyBorder="1" applyAlignment="1">
      <alignment horizontal="center"/>
    </xf>
    <xf numFmtId="0" fontId="33" fillId="3" borderId="14" xfId="0" applyFont="1" applyFill="1" applyBorder="1" applyAlignment="1">
      <alignment horizontal="center" vertical="center" wrapText="1"/>
    </xf>
    <xf numFmtId="0" fontId="50" fillId="11" borderId="14" xfId="0" applyFont="1" applyFill="1" applyBorder="1" applyAlignment="1">
      <alignment horizontal="center" vertical="center" wrapText="1"/>
    </xf>
    <xf numFmtId="0" fontId="4" fillId="0" borderId="14" xfId="0" applyFont="1" applyBorder="1" applyAlignment="1">
      <alignment horizontal="center" wrapText="1"/>
    </xf>
    <xf numFmtId="10" fontId="43" fillId="31" borderId="14" xfId="2" applyNumberFormat="1" applyFont="1" applyFill="1" applyBorder="1" applyAlignment="1">
      <alignment horizontal="center" vertical="center" wrapText="1"/>
    </xf>
  </cellXfs>
  <cellStyles count="4">
    <cellStyle name="Coma" xfId="3" builtinId="3"/>
    <cellStyle name="Enllaç" xfId="1" builtinId="8"/>
    <cellStyle name="Normal" xfId="0" builtinId="0"/>
    <cellStyle name="Percentatge" xfId="2" builtinId="5"/>
  </cellStyles>
  <dxfs count="52">
    <dxf>
      <fill>
        <patternFill>
          <bgColor theme="8" tint="0.39994506668294322"/>
        </patternFill>
      </fill>
    </dxf>
    <dxf>
      <fill>
        <patternFill>
          <bgColor rgb="FFFFC000"/>
        </patternFill>
      </fill>
    </dxf>
    <dxf>
      <fill>
        <patternFill>
          <bgColor theme="8" tint="0.39994506668294322"/>
        </patternFill>
      </fill>
    </dxf>
    <dxf>
      <fill>
        <patternFill>
          <bgColor theme="8" tint="0.39994506668294322"/>
        </patternFill>
      </fill>
    </dxf>
    <dxf>
      <fill>
        <patternFill>
          <bgColor rgb="FFFFC000"/>
        </patternFill>
      </fill>
    </dxf>
    <dxf>
      <fill>
        <patternFill>
          <bgColor rgb="FFFFC000"/>
        </patternFill>
      </fill>
    </dxf>
    <dxf>
      <fill>
        <patternFill>
          <bgColor rgb="FFFFC000"/>
        </patternFill>
      </fill>
    </dxf>
    <dxf>
      <fill>
        <patternFill>
          <bgColor theme="8" tint="0.39994506668294322"/>
        </patternFill>
      </fill>
    </dxf>
    <dxf>
      <fill>
        <patternFill>
          <bgColor theme="8" tint="0.39994506668294322"/>
        </patternFill>
      </fill>
    </dxf>
    <dxf>
      <fill>
        <patternFill>
          <bgColor rgb="FFFFC000"/>
        </patternFill>
      </fill>
    </dxf>
    <dxf>
      <fill>
        <patternFill>
          <bgColor rgb="FFFFC000"/>
        </patternFill>
      </fill>
    </dxf>
    <dxf>
      <fill>
        <patternFill>
          <bgColor rgb="FFFFC0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rgb="FFFFC000"/>
        </patternFill>
      </fill>
    </dxf>
    <dxf>
      <fill>
        <patternFill>
          <bgColor rgb="FFFFC000"/>
        </patternFill>
      </fill>
    </dxf>
    <dxf>
      <fill>
        <patternFill>
          <bgColor theme="8" tint="0.39994506668294322"/>
        </patternFill>
      </fill>
    </dxf>
    <dxf>
      <fill>
        <patternFill>
          <bgColor theme="8" tint="0.39994506668294322"/>
        </patternFill>
      </fill>
    </dxf>
    <dxf>
      <fill>
        <patternFill>
          <bgColor rgb="FFFFC0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rgb="FFFFC000"/>
        </patternFill>
      </fill>
    </dxf>
    <dxf>
      <fill>
        <patternFill>
          <bgColor rgb="FFFFC000"/>
        </patternFill>
      </fill>
    </dxf>
    <dxf>
      <fill>
        <patternFill>
          <bgColor theme="8" tint="0.39994506668294322"/>
        </patternFill>
      </fill>
    </dxf>
    <dxf>
      <fill>
        <patternFill>
          <bgColor theme="8" tint="0.39994506668294322"/>
        </patternFill>
      </fill>
    </dxf>
    <dxf>
      <fill>
        <patternFill>
          <bgColor rgb="FFFFC000"/>
        </patternFill>
      </fill>
    </dxf>
    <dxf>
      <fill>
        <patternFill>
          <bgColor rgb="FFF1960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rgb="FFFFC000"/>
        </patternFill>
      </fill>
    </dxf>
    <dxf>
      <fill>
        <patternFill>
          <bgColor theme="8" tint="0.39994506668294322"/>
        </patternFill>
      </fill>
    </dxf>
    <dxf>
      <fill>
        <patternFill>
          <bgColor rgb="FFFFC000"/>
        </patternFill>
      </fill>
    </dxf>
    <dxf>
      <fill>
        <patternFill>
          <bgColor theme="8" tint="0.39994506668294322"/>
        </patternFill>
      </fill>
    </dxf>
  </dxfs>
  <tableStyles count="0" defaultTableStyle="TableStyleMedium2" defaultPivotStyle="PivotStyleLight16"/>
  <colors>
    <mruColors>
      <color rgb="FFF1960F"/>
      <color rgb="FF66FF33"/>
      <color rgb="FFCCFF33"/>
      <color rgb="FF9900CC"/>
      <color rgb="FFFF3300"/>
      <color rgb="FF660066"/>
      <color rgb="FF333399"/>
      <color rgb="FFFF7C80"/>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eetMetadata" Target="metadata.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9.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1.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2.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5.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6.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7.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8.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bg1"/>
                </a:solidFill>
              </a:defRPr>
            </a:pPr>
            <a:r>
              <a:rPr lang="es-ES" sz="1200" b="1" i="0" u="none" strike="noStrike" baseline="0">
                <a:solidFill>
                  <a:schemeClr val="bg1"/>
                </a:solidFill>
              </a:rPr>
              <a:t>PE1.01_Ind-01. Percentatge d’assoliment dels objectius associats als indicadors del quadre de comandament (qualitat i estratègic) </a:t>
            </a:r>
            <a:endParaRPr lang="es-ES" sz="1200">
              <a:solidFill>
                <a:schemeClr val="bg1"/>
              </a:solidFill>
            </a:endParaRPr>
          </a:p>
        </c:rich>
      </c:tx>
      <c:overlay val="0"/>
    </c:title>
    <c:autoTitleDeleted val="0"/>
    <c:plotArea>
      <c:layout>
        <c:manualLayout>
          <c:layoutTarget val="inner"/>
          <c:xMode val="edge"/>
          <c:yMode val="edge"/>
          <c:x val="7.8349354595659768E-2"/>
          <c:y val="0.23750951074935855"/>
          <c:w val="0.8985171017660647"/>
          <c:h val="0.60127989619275124"/>
        </c:manualLayout>
      </c:layout>
      <c:barChart>
        <c:barDir val="col"/>
        <c:grouping val="clustered"/>
        <c:varyColors val="1"/>
        <c:ser>
          <c:idx val="0"/>
          <c:order val="0"/>
          <c:tx>
            <c:strRef>
              <c:f>'PE1.01_Ind01 '!$B$15</c:f>
              <c:strCache>
                <c:ptCount val="1"/>
                <c:pt idx="0">
                  <c:v>Valor real</c:v>
                </c:pt>
              </c:strCache>
            </c:strRef>
          </c:tx>
          <c:spPr>
            <a:solidFill>
              <a:srgbClr val="4285F4"/>
            </a:solidFill>
            <a:ln>
              <a:noFill/>
            </a:ln>
            <a:effectLst>
              <a:outerShdw blurRad="57150" dist="19050" dir="5400000" algn="ctr" rotWithShape="0">
                <a:srgbClr val="000000">
                  <a:alpha val="63000"/>
                </a:srgbClr>
              </a:outerShdw>
            </a:effectLst>
          </c:spPr>
          <c:invertIfNegative val="1"/>
          <c:cat>
            <c:strRef>
              <c:f>'PE1.01_Ind01 '!$D$14:$J$14</c:f>
              <c:strCache>
                <c:ptCount val="7"/>
                <c:pt idx="0">
                  <c:v>2017/2018</c:v>
                </c:pt>
                <c:pt idx="1">
                  <c:v>2018/2019</c:v>
                </c:pt>
                <c:pt idx="2">
                  <c:v>2019/2020</c:v>
                </c:pt>
                <c:pt idx="3">
                  <c:v>2020/2021</c:v>
                </c:pt>
                <c:pt idx="4">
                  <c:v>2021/2022</c:v>
                </c:pt>
                <c:pt idx="5">
                  <c:v>2022/2023</c:v>
                </c:pt>
                <c:pt idx="6">
                  <c:v>2023/2024</c:v>
                </c:pt>
              </c:strCache>
            </c:strRef>
          </c:cat>
          <c:val>
            <c:numRef>
              <c:f>'PE1.01_Ind01 '!$D$15:$J$15</c:f>
              <c:numCache>
                <c:formatCode>0%</c:formatCode>
                <c:ptCount val="7"/>
                <c:pt idx="0">
                  <c:v>0.44</c:v>
                </c:pt>
                <c:pt idx="1">
                  <c:v>0.57999999999999996</c:v>
                </c:pt>
                <c:pt idx="2">
                  <c:v>0.53</c:v>
                </c:pt>
                <c:pt idx="3">
                  <c:v>0.32</c:v>
                </c:pt>
                <c:pt idx="4">
                  <c:v>0.88260000000000005</c:v>
                </c:pt>
                <c:pt idx="5">
                  <c:v>0.81310000000000004</c:v>
                </c:pt>
                <c:pt idx="6">
                  <c:v>0.89</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C190-44B0-BD7F-CCA1DA244E72}"/>
            </c:ext>
          </c:extLst>
        </c:ser>
        <c:dLbls>
          <c:showLegendKey val="0"/>
          <c:showVal val="0"/>
          <c:showCatName val="0"/>
          <c:showSerName val="0"/>
          <c:showPercent val="0"/>
          <c:showBubbleSize val="0"/>
        </c:dLbls>
        <c:gapWidth val="150"/>
        <c:axId val="1151423127"/>
        <c:axId val="517237689"/>
      </c:barChart>
      <c:lineChart>
        <c:grouping val="standard"/>
        <c:varyColors val="0"/>
        <c:ser>
          <c:idx val="1"/>
          <c:order val="1"/>
          <c:tx>
            <c:strRef>
              <c:f>'PE1.01_Ind01 '!$B$16</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dPt>
            <c:idx val="0"/>
            <c:bubble3D val="0"/>
            <c:extLst>
              <c:ext xmlns:c16="http://schemas.microsoft.com/office/drawing/2014/chart" uri="{C3380CC4-5D6E-409C-BE32-E72D297353CC}">
                <c16:uniqueId val="{00000001-C190-44B0-BD7F-CCA1DA244E72}"/>
              </c:ext>
            </c:extLst>
          </c:dPt>
          <c:cat>
            <c:strRef>
              <c:f>'PE1.01_Ind01 '!$D$14:$J$14</c:f>
              <c:strCache>
                <c:ptCount val="7"/>
                <c:pt idx="0">
                  <c:v>2017/2018</c:v>
                </c:pt>
                <c:pt idx="1">
                  <c:v>2018/2019</c:v>
                </c:pt>
                <c:pt idx="2">
                  <c:v>2019/2020</c:v>
                </c:pt>
                <c:pt idx="3">
                  <c:v>2020/2021</c:v>
                </c:pt>
                <c:pt idx="4">
                  <c:v>2021/2022</c:v>
                </c:pt>
                <c:pt idx="5">
                  <c:v>2022/2023</c:v>
                </c:pt>
                <c:pt idx="6">
                  <c:v>2023/2024</c:v>
                </c:pt>
              </c:strCache>
            </c:strRef>
          </c:cat>
          <c:val>
            <c:numRef>
              <c:f>'PE1.01_Ind01 '!$D$16:$J$16</c:f>
              <c:numCache>
                <c:formatCode>0%</c:formatCode>
                <c:ptCount val="7"/>
                <c:pt idx="0">
                  <c:v>0.8</c:v>
                </c:pt>
                <c:pt idx="1">
                  <c:v>0.8</c:v>
                </c:pt>
                <c:pt idx="2">
                  <c:v>0.8</c:v>
                </c:pt>
                <c:pt idx="3">
                  <c:v>0.8</c:v>
                </c:pt>
                <c:pt idx="4">
                  <c:v>0.8</c:v>
                </c:pt>
                <c:pt idx="5">
                  <c:v>0.8</c:v>
                </c:pt>
                <c:pt idx="6">
                  <c:v>0.8</c:v>
                </c:pt>
              </c:numCache>
            </c:numRef>
          </c:val>
          <c:smooth val="0"/>
          <c:extLst>
            <c:ext xmlns:c16="http://schemas.microsoft.com/office/drawing/2014/chart" uri="{C3380CC4-5D6E-409C-BE32-E72D297353CC}">
              <c16:uniqueId val="{00000002-C190-44B0-BD7F-CCA1DA244E72}"/>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b"/>
      <c:overlay val="0"/>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PE1.03_Ind03. Taxa de graduació per curs acadèmic i titulació (per cohort, N+1, Màsters) </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1"/>
          <c:order val="0"/>
          <c:tx>
            <c:strRef>
              <c:f>'PE1.03_Ind03'!$B$15:$C$15</c:f>
              <c:strCache>
                <c:ptCount val="2"/>
                <c:pt idx="0">
                  <c:v>Estudis Interdisciplinaris en Sostenibilitat Ambiental, Econòmica i Social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'PE1.03_Ind03'!$D$15:$H$15</c:f>
              <c:numCache>
                <c:formatCode>0%</c:formatCode>
                <c:ptCount val="5"/>
                <c:pt idx="0">
                  <c:v>0.94340000000000002</c:v>
                </c:pt>
                <c:pt idx="1">
                  <c:v>0.91</c:v>
                </c:pt>
                <c:pt idx="2">
                  <c:v>0.97</c:v>
                </c:pt>
                <c:pt idx="3">
                  <c:v>0.92</c:v>
                </c:pt>
                <c:pt idx="4">
                  <c:v>0.98</c:v>
                </c:pt>
              </c:numCache>
            </c:numRef>
          </c:val>
          <c:extLst>
            <c:ext xmlns:c16="http://schemas.microsoft.com/office/drawing/2014/chart" uri="{C3380CC4-5D6E-409C-BE32-E72D297353CC}">
              <c16:uniqueId val="{00000001-169C-4F94-BD02-221C2B9C4E6F}"/>
            </c:ext>
          </c:extLst>
        </c:ser>
        <c:ser>
          <c:idx val="2"/>
          <c:order val="1"/>
          <c:tx>
            <c:strRef>
              <c:f>'PE1.03_Ind03'!$B$16:$C$16</c:f>
              <c:strCache>
                <c:ptCount val="2"/>
                <c:pt idx="0">
                  <c:v>Física d'Altes Energies, Astrofísica i Cosmologiada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'PE1.03_Ind03'!$D$16:$H$16</c:f>
              <c:numCache>
                <c:formatCode>0%</c:formatCode>
                <c:ptCount val="5"/>
                <c:pt idx="0" formatCode="0.00%">
                  <c:v>0.82350000000000001</c:v>
                </c:pt>
                <c:pt idx="1">
                  <c:v>0.83</c:v>
                </c:pt>
                <c:pt idx="2">
                  <c:v>0.76</c:v>
                </c:pt>
                <c:pt idx="3">
                  <c:v>0.85</c:v>
                </c:pt>
                <c:pt idx="4">
                  <c:v>1</c:v>
                </c:pt>
              </c:numCache>
            </c:numRef>
          </c:val>
          <c:extLst>
            <c:ext xmlns:c16="http://schemas.microsoft.com/office/drawing/2014/chart" uri="{C3380CC4-5D6E-409C-BE32-E72D297353CC}">
              <c16:uniqueId val="{00000002-169C-4F94-BD02-221C2B9C4E6F}"/>
            </c:ext>
          </c:extLst>
        </c:ser>
        <c:ser>
          <c:idx val="3"/>
          <c:order val="2"/>
          <c:tx>
            <c:strRef>
              <c:f>'PE1.03_Ind03'!$B$17:$C$17</c:f>
              <c:strCache>
                <c:ptCount val="2"/>
                <c:pt idx="0">
                  <c:v>Història de la Ciència. Ciència, Història i Societat</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'PE1.03_Ind03'!$D$17:$H$17</c:f>
              <c:numCache>
                <c:formatCode>0%</c:formatCode>
                <c:ptCount val="5"/>
                <c:pt idx="0">
                  <c:v>0.93</c:v>
                </c:pt>
                <c:pt idx="1">
                  <c:v>1</c:v>
                </c:pt>
                <c:pt idx="2">
                  <c:v>0.9</c:v>
                </c:pt>
                <c:pt idx="3">
                  <c:v>0.67</c:v>
                </c:pt>
                <c:pt idx="4">
                  <c:v>0.92</c:v>
                </c:pt>
              </c:numCache>
            </c:numRef>
          </c:val>
          <c:extLst>
            <c:ext xmlns:c16="http://schemas.microsoft.com/office/drawing/2014/chart" uri="{C3380CC4-5D6E-409C-BE32-E72D297353CC}">
              <c16:uniqueId val="{00000003-169C-4F94-BD02-221C2B9C4E6F}"/>
            </c:ext>
          </c:extLst>
        </c:ser>
        <c:ser>
          <c:idx val="4"/>
          <c:order val="3"/>
          <c:tx>
            <c:strRef>
              <c:f>'PE1.03_Ind03'!$B$18:$C$18</c:f>
              <c:strCache>
                <c:ptCount val="2"/>
                <c:pt idx="0">
                  <c:v>Modelització per a la Ciència i l'Enginyeria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'PE1.03_Ind03'!$D$18:$H$18</c:f>
              <c:numCache>
                <c:formatCode>0%</c:formatCode>
                <c:ptCount val="5"/>
                <c:pt idx="0">
                  <c:v>0.89</c:v>
                </c:pt>
                <c:pt idx="1">
                  <c:v>0.92</c:v>
                </c:pt>
                <c:pt idx="2">
                  <c:v>0.88</c:v>
                </c:pt>
                <c:pt idx="3">
                  <c:v>0.86</c:v>
                </c:pt>
                <c:pt idx="4">
                  <c:v>0.97</c:v>
                </c:pt>
              </c:numCache>
            </c:numRef>
          </c:val>
          <c:extLst>
            <c:ext xmlns:c16="http://schemas.microsoft.com/office/drawing/2014/chart" uri="{C3380CC4-5D6E-409C-BE32-E72D297353CC}">
              <c16:uniqueId val="{00000004-169C-4F94-BD02-221C2B9C4E6F}"/>
            </c:ext>
          </c:extLst>
        </c:ser>
        <c:ser>
          <c:idx val="5"/>
          <c:order val="4"/>
          <c:tx>
            <c:strRef>
              <c:f>'PE1.03_Ind03'!$B$19:$C$19</c:f>
              <c:strCache>
                <c:ptCount val="2"/>
                <c:pt idx="0">
                  <c:v>Nanociència i Nanotecnologia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'PE1.03_Ind03'!$D$19:$H$19</c:f>
              <c:numCache>
                <c:formatCode>0%</c:formatCode>
                <c:ptCount val="5"/>
                <c:pt idx="0">
                  <c:v>0.91</c:v>
                </c:pt>
                <c:pt idx="1">
                  <c:v>0.9</c:v>
                </c:pt>
                <c:pt idx="2">
                  <c:v>1</c:v>
                </c:pt>
                <c:pt idx="3">
                  <c:v>0.92</c:v>
                </c:pt>
                <c:pt idx="4">
                  <c:v>1</c:v>
                </c:pt>
              </c:numCache>
            </c:numRef>
          </c:val>
          <c:extLst>
            <c:ext xmlns:c16="http://schemas.microsoft.com/office/drawing/2014/chart" uri="{C3380CC4-5D6E-409C-BE32-E72D297353CC}">
              <c16:uniqueId val="{00000005-169C-4F94-BD02-221C2B9C4E6F}"/>
            </c:ext>
          </c:extLst>
        </c:ser>
        <c:ser>
          <c:idx val="6"/>
          <c:order val="5"/>
          <c:tx>
            <c:strRef>
              <c:f>'PE1.03_Ind03'!$B$20:$C$20</c:f>
              <c:strCache>
                <c:ptCount val="2"/>
                <c:pt idx="0">
                  <c:v>Paleobiologia i Registre Fòssil</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'PE1.03_Ind03'!$D$20:$H$20</c:f>
              <c:numCache>
                <c:formatCode>0%</c:formatCode>
                <c:ptCount val="5"/>
                <c:pt idx="0">
                  <c:v>1</c:v>
                </c:pt>
                <c:pt idx="1">
                  <c:v>1</c:v>
                </c:pt>
                <c:pt idx="2">
                  <c:v>0</c:v>
                </c:pt>
                <c:pt idx="3">
                  <c:v>1</c:v>
                </c:pt>
                <c:pt idx="4">
                  <c:v>1</c:v>
                </c:pt>
              </c:numCache>
            </c:numRef>
          </c:val>
          <c:extLst>
            <c:ext xmlns:c16="http://schemas.microsoft.com/office/drawing/2014/chart" uri="{C3380CC4-5D6E-409C-BE32-E72D297353CC}">
              <c16:uniqueId val="{00000006-169C-4F94-BD02-221C2B9C4E6F}"/>
            </c:ext>
          </c:extLst>
        </c:ser>
        <c:ser>
          <c:idx val="7"/>
          <c:order val="6"/>
          <c:tx>
            <c:strRef>
              <c:f>'PE1.03_Ind03'!$B$21:$C$21</c:f>
              <c:strCache>
                <c:ptCount val="2"/>
                <c:pt idx="0">
                  <c:v>Química Industrial i Introducció a la Recerca de la 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'PE1.03_Ind03'!$D$21:$H$21</c:f>
              <c:numCache>
                <c:formatCode>0%</c:formatCode>
                <c:ptCount val="5"/>
                <c:pt idx="0">
                  <c:v>0.95</c:v>
                </c:pt>
                <c:pt idx="1">
                  <c:v>1</c:v>
                </c:pt>
                <c:pt idx="2">
                  <c:v>0.94</c:v>
                </c:pt>
                <c:pt idx="3">
                  <c:v>0.56000000000000005</c:v>
                </c:pt>
                <c:pt idx="4">
                  <c:v>0.96</c:v>
                </c:pt>
              </c:numCache>
            </c:numRef>
          </c:val>
          <c:extLst>
            <c:ext xmlns:c16="http://schemas.microsoft.com/office/drawing/2014/chart" uri="{C3380CC4-5D6E-409C-BE32-E72D297353CC}">
              <c16:uniqueId val="{00000007-169C-4F94-BD02-221C2B9C4E6F}"/>
            </c:ext>
          </c:extLst>
        </c:ser>
        <c:dLbls>
          <c:showLegendKey val="0"/>
          <c:showVal val="0"/>
          <c:showCatName val="0"/>
          <c:showSerName val="0"/>
          <c:showPercent val="0"/>
          <c:showBubbleSize val="0"/>
        </c:dLbls>
        <c:gapWidth val="100"/>
        <c:axId val="1534842816"/>
        <c:axId val="1348426720"/>
      </c:barChart>
      <c:lineChart>
        <c:grouping val="standard"/>
        <c:varyColors val="0"/>
        <c:ser>
          <c:idx val="8"/>
          <c:order val="7"/>
          <c:tx>
            <c:strRef>
              <c:f>'PE1.03_Ind03'!$B$24:$C$24</c:f>
              <c:strCache>
                <c:ptCount val="2"/>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3">
                    <a:lumMod val="60000"/>
                  </a:schemeClr>
                </a:solidFill>
                <a:round/>
              </a:ln>
              <a:effectLst>
                <a:outerShdw blurRad="57150" dist="19050" dir="5400000" algn="ctr" rotWithShape="0">
                  <a:srgbClr val="000000">
                    <a:alpha val="63000"/>
                  </a:srgbClr>
                </a:outerShdw>
              </a:effectLst>
            </c:spPr>
          </c:marker>
          <c:val>
            <c:numRef>
              <c:f>'PE1.03_Ind03'!$D$24:$H$24</c:f>
              <c:numCache>
                <c:formatCode>0%</c:formatCode>
                <c:ptCount val="5"/>
                <c:pt idx="0">
                  <c:v>0.85</c:v>
                </c:pt>
                <c:pt idx="1">
                  <c:v>0.85</c:v>
                </c:pt>
                <c:pt idx="2">
                  <c:v>0.85</c:v>
                </c:pt>
                <c:pt idx="3">
                  <c:v>0.85</c:v>
                </c:pt>
                <c:pt idx="4">
                  <c:v>0.85</c:v>
                </c:pt>
              </c:numCache>
            </c:numRef>
          </c:val>
          <c:smooth val="0"/>
          <c:extLst>
            <c:ext xmlns:c16="http://schemas.microsoft.com/office/drawing/2014/chart" uri="{C3380CC4-5D6E-409C-BE32-E72D297353CC}">
              <c16:uniqueId val="{00000008-169C-4F94-BD02-221C2B9C4E6F}"/>
            </c:ext>
          </c:extLst>
        </c:ser>
        <c:dLbls>
          <c:showLegendKey val="0"/>
          <c:showVal val="0"/>
          <c:showCatName val="0"/>
          <c:showSerName val="0"/>
          <c:showPercent val="0"/>
          <c:showBubbleSize val="0"/>
        </c:dLbls>
        <c:marker val="1"/>
        <c:smooth val="0"/>
        <c:axId val="1534842816"/>
        <c:axId val="1348426720"/>
      </c:lineChart>
      <c:catAx>
        <c:axId val="1534842816"/>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8426720"/>
        <c:crosses val="autoZero"/>
        <c:auto val="1"/>
        <c:lblAlgn val="ctr"/>
        <c:lblOffset val="100"/>
        <c:noMultiLvlLbl val="0"/>
      </c:catAx>
      <c:valAx>
        <c:axId val="1348426720"/>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34842816"/>
        <c:crosses val="autoZero"/>
        <c:crossBetween val="between"/>
      </c:valAx>
      <c:spPr>
        <a:noFill/>
        <a:ln>
          <a:noFill/>
        </a:ln>
        <a:effectLst/>
      </c:spPr>
    </c:plotArea>
    <c:legend>
      <c:legendPos val="b"/>
      <c:layout>
        <c:manualLayout>
          <c:xMode val="edge"/>
          <c:yMode val="edge"/>
          <c:x val="9.7348079120251341E-3"/>
          <c:y val="0.81334503745318343"/>
          <c:w val="0.97634345544130252"/>
          <c:h val="0.123880500936329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Calibri" panose="020F0502020204030204" pitchFamily="34" charset="0"/>
              <a:ea typeface="Calibri" panose="020F0502020204030204" pitchFamily="34" charset="0"/>
              <a:cs typeface="Calibri" panose="020F050202020403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400" b="1" i="0" u="none" strike="noStrike" baseline="0">
                <a:effectLst>
                  <a:outerShdw blurRad="50800" dist="38100" dir="5400000" algn="t" rotWithShape="0">
                    <a:prstClr val="black">
                      <a:alpha val="40000"/>
                    </a:prstClr>
                  </a:outerShdw>
                </a:effectLst>
                <a:latin typeface="Calibri" panose="020F0502020204030204" pitchFamily="34" charset="0"/>
                <a:ea typeface="Calibri" panose="020F0502020204030204" pitchFamily="34" charset="0"/>
                <a:cs typeface="Calibri" panose="020F0502020204030204" pitchFamily="34" charset="0"/>
              </a:rPr>
              <a:t>PE1.03_Ind04. Taxa d’ocupació de les persones titulades, per titulació</a:t>
            </a:r>
            <a:endParaRPr lang="ca-ES" sz="1400">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1"/>
          <c:order val="0"/>
          <c:tx>
            <c:strRef>
              <c:f>'PE1.03_Ind04 '!$B$15:$C$15</c:f>
              <c:strCache>
                <c:ptCount val="2"/>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'!$D$15:$G$15</c:f>
              <c:numCache>
                <c:formatCode>0.00%</c:formatCode>
                <c:ptCount val="4"/>
                <c:pt idx="0">
                  <c:v>0.7</c:v>
                </c:pt>
                <c:pt idx="1">
                  <c:v>0.84199999999999997</c:v>
                </c:pt>
                <c:pt idx="2">
                  <c:v>0.71099999999999997</c:v>
                </c:pt>
                <c:pt idx="3">
                  <c:v>0.85699999999999998</c:v>
                </c:pt>
              </c:numCache>
            </c:numRef>
          </c:val>
          <c:extLst>
            <c:ext xmlns:c16="http://schemas.microsoft.com/office/drawing/2014/chart" uri="{C3380CC4-5D6E-409C-BE32-E72D297353CC}">
              <c16:uniqueId val="{00000003-6447-4357-B67F-CEFCD3A96F4E}"/>
            </c:ext>
          </c:extLst>
        </c:ser>
        <c:ser>
          <c:idx val="2"/>
          <c:order val="1"/>
          <c:tx>
            <c:strRef>
              <c:f>'PE1.03_Ind04 '!$B$16:$C$16</c:f>
              <c:strCache>
                <c:ptCount val="2"/>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'!$D$16:$G$16</c:f>
              <c:numCache>
                <c:formatCode>0.00%</c:formatCode>
                <c:ptCount val="4"/>
                <c:pt idx="0">
                  <c:v>0</c:v>
                </c:pt>
                <c:pt idx="1">
                  <c:v>0.94399999999999995</c:v>
                </c:pt>
                <c:pt idx="2">
                  <c:v>0</c:v>
                </c:pt>
                <c:pt idx="3">
                  <c:v>0.92600000000000005</c:v>
                </c:pt>
              </c:numCache>
            </c:numRef>
          </c:val>
          <c:extLst>
            <c:ext xmlns:c16="http://schemas.microsoft.com/office/drawing/2014/chart" uri="{C3380CC4-5D6E-409C-BE32-E72D297353CC}">
              <c16:uniqueId val="{00000004-6447-4357-B67F-CEFCD3A96F4E}"/>
            </c:ext>
          </c:extLst>
        </c:ser>
        <c:ser>
          <c:idx val="3"/>
          <c:order val="2"/>
          <c:tx>
            <c:strRef>
              <c:f>'PE1.03_Ind04 '!$B$17:$C$17</c:f>
              <c:strCache>
                <c:ptCount val="2"/>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'!$D$17:$G$17</c:f>
              <c:numCache>
                <c:formatCode>0.00%</c:formatCode>
                <c:ptCount val="4"/>
                <c:pt idx="0">
                  <c:v>0</c:v>
                </c:pt>
                <c:pt idx="1">
                  <c:v>0</c:v>
                </c:pt>
                <c:pt idx="2">
                  <c:v>0.91700000000000004</c:v>
                </c:pt>
                <c:pt idx="3">
                  <c:v>0.95</c:v>
                </c:pt>
              </c:numCache>
            </c:numRef>
          </c:val>
          <c:extLst>
            <c:ext xmlns:c16="http://schemas.microsoft.com/office/drawing/2014/chart" uri="{C3380CC4-5D6E-409C-BE32-E72D297353CC}">
              <c16:uniqueId val="{00000005-6447-4357-B67F-CEFCD3A96F4E}"/>
            </c:ext>
          </c:extLst>
        </c:ser>
        <c:ser>
          <c:idx val="4"/>
          <c:order val="3"/>
          <c:tx>
            <c:strRef>
              <c:f>'PE1.03_Ind04 '!$B$18:$C$18</c:f>
              <c:strCache>
                <c:ptCount val="2"/>
                <c:pt idx="0">
                  <c:v>Geologia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'!$D$18:$G$18</c:f>
              <c:numCache>
                <c:formatCode>0.00%</c:formatCode>
                <c:ptCount val="4"/>
                <c:pt idx="0">
                  <c:v>0</c:v>
                </c:pt>
                <c:pt idx="1">
                  <c:v>0.69599999999999995</c:v>
                </c:pt>
                <c:pt idx="2">
                  <c:v>0.89500000000000002</c:v>
                </c:pt>
                <c:pt idx="3">
                  <c:v>0.93200000000000005</c:v>
                </c:pt>
              </c:numCache>
            </c:numRef>
          </c:val>
          <c:extLst>
            <c:ext xmlns:c16="http://schemas.microsoft.com/office/drawing/2014/chart" uri="{C3380CC4-5D6E-409C-BE32-E72D297353CC}">
              <c16:uniqueId val="{00000006-6447-4357-B67F-CEFCD3A96F4E}"/>
            </c:ext>
          </c:extLst>
        </c:ser>
        <c:ser>
          <c:idx val="0"/>
          <c:order val="4"/>
          <c:tx>
            <c:strRef>
              <c:f>'PE1.03_Ind04 '!$B$19:$C$19</c:f>
              <c:strCache>
                <c:ptCount val="2"/>
                <c:pt idx="0">
                  <c:v>Matemàtica Computacional i Analítica de Dades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val>
            <c:numRef>
              <c:f>'PE1.03_Ind04 '!$D$19:$G$19</c:f>
              <c:numCache>
                <c:formatCode>0.00%</c:formatCode>
                <c:ptCount val="4"/>
                <c:pt idx="0">
                  <c:v>0</c:v>
                </c:pt>
                <c:pt idx="1">
                  <c:v>0</c:v>
                </c:pt>
                <c:pt idx="2">
                  <c:v>0</c:v>
                </c:pt>
                <c:pt idx="3">
                  <c:v>0</c:v>
                </c:pt>
              </c:numCache>
            </c:numRef>
          </c:val>
          <c:extLst>
            <c:ext xmlns:c16="http://schemas.microsoft.com/office/drawing/2014/chart" uri="{C3380CC4-5D6E-409C-BE32-E72D297353CC}">
              <c16:uniqueId val="{00000001-A23F-44FC-97C9-87771B5BA2C3}"/>
            </c:ext>
          </c:extLst>
        </c:ser>
        <c:ser>
          <c:idx val="5"/>
          <c:order val="5"/>
          <c:tx>
            <c:strRef>
              <c:f>'PE1.03_Ind04 '!$B$20:$C$20</c:f>
              <c:strCache>
                <c:ptCount val="2"/>
                <c:pt idx="0">
                  <c:v>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'!$D$20:$G$20</c:f>
              <c:numCache>
                <c:formatCode>0.00%</c:formatCode>
                <c:ptCount val="4"/>
                <c:pt idx="0">
                  <c:v>0</c:v>
                </c:pt>
                <c:pt idx="1">
                  <c:v>0</c:v>
                </c:pt>
                <c:pt idx="2">
                  <c:v>0</c:v>
                </c:pt>
                <c:pt idx="3">
                  <c:v>0.88600000000000001</c:v>
                </c:pt>
              </c:numCache>
            </c:numRef>
          </c:val>
          <c:extLst>
            <c:ext xmlns:c16="http://schemas.microsoft.com/office/drawing/2014/chart" uri="{C3380CC4-5D6E-409C-BE32-E72D297353CC}">
              <c16:uniqueId val="{00000007-6447-4357-B67F-CEFCD3A96F4E}"/>
            </c:ext>
          </c:extLst>
        </c:ser>
        <c:ser>
          <c:idx val="6"/>
          <c:order val="6"/>
          <c:tx>
            <c:strRef>
              <c:f>'PE1.03_Ind04 '!$B$21:$C$21</c:f>
              <c:strCache>
                <c:ptCount val="2"/>
                <c:pt idx="0">
                  <c:v>Nanociència i Nanotecnologia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'!$D$21:$G$21</c:f>
              <c:numCache>
                <c:formatCode>0.00%</c:formatCode>
                <c:ptCount val="4"/>
                <c:pt idx="0">
                  <c:v>0</c:v>
                </c:pt>
                <c:pt idx="1">
                  <c:v>0</c:v>
                </c:pt>
                <c:pt idx="2">
                  <c:v>0.89700000000000002</c:v>
                </c:pt>
                <c:pt idx="3">
                  <c:v>0.83599999999999997</c:v>
                </c:pt>
              </c:numCache>
            </c:numRef>
          </c:val>
          <c:extLst>
            <c:ext xmlns:c16="http://schemas.microsoft.com/office/drawing/2014/chart" uri="{C3380CC4-5D6E-409C-BE32-E72D297353CC}">
              <c16:uniqueId val="{00000008-6447-4357-B67F-CEFCD3A96F4E}"/>
            </c:ext>
          </c:extLst>
        </c:ser>
        <c:ser>
          <c:idx val="7"/>
          <c:order val="7"/>
          <c:tx>
            <c:strRef>
              <c:f>'PE1.03_Ind04 '!$B$22:$C$22</c:f>
              <c:strCache>
                <c:ptCount val="2"/>
                <c:pt idx="0">
                  <c:v>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'!$D$22:$G$22</c:f>
              <c:numCache>
                <c:formatCode>0.00%</c:formatCode>
                <c:ptCount val="4"/>
                <c:pt idx="0">
                  <c:v>0.81299999999999994</c:v>
                </c:pt>
                <c:pt idx="1">
                  <c:v>0.91800000000000004</c:v>
                </c:pt>
                <c:pt idx="2">
                  <c:v>0.90900000000000003</c:v>
                </c:pt>
                <c:pt idx="3">
                  <c:v>0.90100000000000002</c:v>
                </c:pt>
              </c:numCache>
            </c:numRef>
          </c:val>
          <c:extLst>
            <c:ext xmlns:c16="http://schemas.microsoft.com/office/drawing/2014/chart" uri="{C3380CC4-5D6E-409C-BE32-E72D297353CC}">
              <c16:uniqueId val="{00000009-6447-4357-B67F-CEFCD3A96F4E}"/>
            </c:ext>
          </c:extLst>
        </c:ser>
        <c:ser>
          <c:idx val="8"/>
          <c:order val="8"/>
          <c:tx>
            <c:strRef>
              <c:f>'PE1.03_Ind04 '!$B$23:$C$23</c:f>
              <c:strCache>
                <c:ptCount val="2"/>
                <c:pt idx="0">
                  <c:v>Estudis Interdisciplinaris en Sostenibilitat Ambiental, Econòmica i Social</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'!$D$23:$G$23</c:f>
              <c:numCache>
                <c:formatCode>0.00%</c:formatCode>
                <c:ptCount val="4"/>
                <c:pt idx="0">
                  <c:v>0.878</c:v>
                </c:pt>
                <c:pt idx="1">
                  <c:v>0.92200000000000004</c:v>
                </c:pt>
                <c:pt idx="2">
                  <c:v>0.875</c:v>
                </c:pt>
                <c:pt idx="3">
                  <c:v>0.9</c:v>
                </c:pt>
              </c:numCache>
            </c:numRef>
          </c:val>
          <c:extLst>
            <c:ext xmlns:c16="http://schemas.microsoft.com/office/drawing/2014/chart" uri="{C3380CC4-5D6E-409C-BE32-E72D297353CC}">
              <c16:uniqueId val="{0000000A-6447-4357-B67F-CEFCD3A96F4E}"/>
            </c:ext>
          </c:extLst>
        </c:ser>
        <c:ser>
          <c:idx val="9"/>
          <c:order val="9"/>
          <c:tx>
            <c:strRef>
              <c:f>'PE1.03_Ind04 '!$B$24:$C$24</c:f>
              <c:strCache>
                <c:ptCount val="2"/>
                <c:pt idx="0">
                  <c:v>Física d’Altes Energies, Astrofísica i Cosmologia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'!$D$24:$G$24</c:f>
              <c:numCache>
                <c:formatCode>0.00%</c:formatCode>
                <c:ptCount val="4"/>
                <c:pt idx="0">
                  <c:v>0</c:v>
                </c:pt>
                <c:pt idx="1">
                  <c:v>0.85699999999999998</c:v>
                </c:pt>
                <c:pt idx="2">
                  <c:v>0</c:v>
                </c:pt>
                <c:pt idx="3">
                  <c:v>0.95199999999999996</c:v>
                </c:pt>
              </c:numCache>
            </c:numRef>
          </c:val>
          <c:extLst>
            <c:ext xmlns:c16="http://schemas.microsoft.com/office/drawing/2014/chart" uri="{C3380CC4-5D6E-409C-BE32-E72D297353CC}">
              <c16:uniqueId val="{0000000B-6447-4357-B67F-CEFCD3A96F4E}"/>
            </c:ext>
          </c:extLst>
        </c:ser>
        <c:ser>
          <c:idx val="10"/>
          <c:order val="10"/>
          <c:tx>
            <c:strRef>
              <c:f>'PE1.03_Ind04 '!$B$25:$C$25</c:f>
              <c:strCache>
                <c:ptCount val="2"/>
                <c:pt idx="0">
                  <c:v>Història de la Ciència: Ciència, Història i Societat</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'!$D$25:$G$25</c:f>
              <c:numCache>
                <c:formatCode>0.00%</c:formatCode>
                <c:ptCount val="4"/>
                <c:pt idx="0">
                  <c:v>0.71899999999999997</c:v>
                </c:pt>
                <c:pt idx="1">
                  <c:v>0.81299999999999994</c:v>
                </c:pt>
                <c:pt idx="2">
                  <c:v>0.877</c:v>
                </c:pt>
                <c:pt idx="3">
                  <c:v>0.76500000000000001</c:v>
                </c:pt>
              </c:numCache>
            </c:numRef>
          </c:val>
          <c:extLst>
            <c:ext xmlns:c16="http://schemas.microsoft.com/office/drawing/2014/chart" uri="{C3380CC4-5D6E-409C-BE32-E72D297353CC}">
              <c16:uniqueId val="{0000000C-6447-4357-B67F-CEFCD3A96F4E}"/>
            </c:ext>
          </c:extLst>
        </c:ser>
        <c:ser>
          <c:idx val="11"/>
          <c:order val="11"/>
          <c:tx>
            <c:strRef>
              <c:f>'PE1.03_Ind04 '!$B$26:$C$26</c:f>
              <c:strCache>
                <c:ptCount val="2"/>
                <c:pt idx="0">
                  <c:v>Modelització per a la Ciència i l'Enginyeria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'!$D$26:$G$26</c:f>
              <c:numCache>
                <c:formatCode>0.00%</c:formatCode>
                <c:ptCount val="4"/>
                <c:pt idx="0">
                  <c:v>0.89400000000000002</c:v>
                </c:pt>
                <c:pt idx="1">
                  <c:v>0.91200000000000003</c:v>
                </c:pt>
                <c:pt idx="2">
                  <c:v>0.94399999999999995</c:v>
                </c:pt>
                <c:pt idx="3">
                  <c:v>0.92300000000000004</c:v>
                </c:pt>
              </c:numCache>
            </c:numRef>
          </c:val>
          <c:extLst>
            <c:ext xmlns:c16="http://schemas.microsoft.com/office/drawing/2014/chart" uri="{C3380CC4-5D6E-409C-BE32-E72D297353CC}">
              <c16:uniqueId val="{0000000D-6447-4357-B67F-CEFCD3A96F4E}"/>
            </c:ext>
          </c:extLst>
        </c:ser>
        <c:ser>
          <c:idx val="12"/>
          <c:order val="12"/>
          <c:tx>
            <c:strRef>
              <c:f>'PE1.03_Ind04 '!$B$27:$C$27</c:f>
              <c:strCache>
                <c:ptCount val="2"/>
                <c:pt idx="0">
                  <c:v>Nanociència i Nanotecnologia Avançades</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'!$D$27:$G$27</c:f>
              <c:numCache>
                <c:formatCode>0.00%</c:formatCode>
                <c:ptCount val="4"/>
                <c:pt idx="0">
                  <c:v>0</c:v>
                </c:pt>
                <c:pt idx="1">
                  <c:v>0</c:v>
                </c:pt>
                <c:pt idx="2">
                  <c:v>0</c:v>
                </c:pt>
                <c:pt idx="3">
                  <c:v>0.95499999999999996</c:v>
                </c:pt>
              </c:numCache>
            </c:numRef>
          </c:val>
          <c:extLst>
            <c:ext xmlns:c16="http://schemas.microsoft.com/office/drawing/2014/chart" uri="{C3380CC4-5D6E-409C-BE32-E72D297353CC}">
              <c16:uniqueId val="{0000000E-6447-4357-B67F-CEFCD3A96F4E}"/>
            </c:ext>
          </c:extLst>
        </c:ser>
        <c:ser>
          <c:idx val="13"/>
          <c:order val="13"/>
          <c:tx>
            <c:strRef>
              <c:f>'PE1.03_Ind04 '!$B$28:$C$28</c:f>
              <c:strCache>
                <c:ptCount val="2"/>
                <c:pt idx="0">
                  <c:v>Paleobiologia i Registre Fòssil</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'!$D$28:$G$28</c:f>
              <c:numCache>
                <c:formatCode>0.00%</c:formatCode>
                <c:ptCount val="4"/>
                <c:pt idx="0">
                  <c:v>0.83599999999999997</c:v>
                </c:pt>
                <c:pt idx="1">
                  <c:v>0.88900000000000001</c:v>
                </c:pt>
                <c:pt idx="2">
                  <c:v>0.88</c:v>
                </c:pt>
                <c:pt idx="3">
                  <c:v>0.85699999999999998</c:v>
                </c:pt>
              </c:numCache>
            </c:numRef>
          </c:val>
          <c:extLst>
            <c:ext xmlns:c16="http://schemas.microsoft.com/office/drawing/2014/chart" uri="{C3380CC4-5D6E-409C-BE32-E72D297353CC}">
              <c16:uniqueId val="{0000000F-6447-4357-B67F-CEFCD3A96F4E}"/>
            </c:ext>
          </c:extLst>
        </c:ser>
        <c:ser>
          <c:idx val="14"/>
          <c:order val="14"/>
          <c:tx>
            <c:strRef>
              <c:f>'PE1.03_Ind04 '!$B$29:$C$29</c:f>
              <c:strCache>
                <c:ptCount val="2"/>
                <c:pt idx="0">
                  <c:v>Química Industrial i Introducció a la Recerca Química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'!$D$29:$G$29</c:f>
              <c:numCache>
                <c:formatCode>0.00%</c:formatCode>
                <c:ptCount val="4"/>
                <c:pt idx="0">
                  <c:v>0.95</c:v>
                </c:pt>
                <c:pt idx="1">
                  <c:v>0.69199999999999995</c:v>
                </c:pt>
                <c:pt idx="2">
                  <c:v>0.82899999999999996</c:v>
                </c:pt>
                <c:pt idx="3">
                  <c:v>0.92200000000000004</c:v>
                </c:pt>
              </c:numCache>
            </c:numRef>
          </c:val>
          <c:extLst>
            <c:ext xmlns:c16="http://schemas.microsoft.com/office/drawing/2014/chart" uri="{C3380CC4-5D6E-409C-BE32-E72D297353CC}">
              <c16:uniqueId val="{00000010-6447-4357-B67F-CEFCD3A96F4E}"/>
            </c:ext>
          </c:extLst>
        </c:ser>
        <c:dLbls>
          <c:showLegendKey val="0"/>
          <c:showVal val="0"/>
          <c:showCatName val="0"/>
          <c:showSerName val="0"/>
          <c:showPercent val="0"/>
          <c:showBubbleSize val="0"/>
        </c:dLbls>
        <c:gapWidth val="150"/>
        <c:axId val="514589536"/>
        <c:axId val="514590368"/>
      </c:barChart>
      <c:lineChart>
        <c:grouping val="standard"/>
        <c:varyColors val="0"/>
        <c:ser>
          <c:idx val="15"/>
          <c:order val="15"/>
          <c:tx>
            <c:strRef>
              <c:f>'PE1.03_Ind04 '!$B$32:$C$32</c:f>
              <c:strCache>
                <c:ptCount val="2"/>
                <c:pt idx="0">
                  <c:v>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val>
            <c:numRef>
              <c:f>'PE1.03_Ind04 '!$D$32:$G$32</c:f>
              <c:numCache>
                <c:formatCode>0.00%</c:formatCode>
                <c:ptCount val="4"/>
                <c:pt idx="0">
                  <c:v>0.7</c:v>
                </c:pt>
                <c:pt idx="1">
                  <c:v>0.7</c:v>
                </c:pt>
                <c:pt idx="2">
                  <c:v>0.7</c:v>
                </c:pt>
                <c:pt idx="3">
                  <c:v>0.7</c:v>
                </c:pt>
              </c:numCache>
            </c:numRef>
          </c:val>
          <c:smooth val="0"/>
          <c:extLst>
            <c:ext xmlns:c16="http://schemas.microsoft.com/office/drawing/2014/chart" uri="{C3380CC4-5D6E-409C-BE32-E72D297353CC}">
              <c16:uniqueId val="{00000011-6447-4357-B67F-CEFCD3A96F4E}"/>
            </c:ext>
          </c:extLst>
        </c:ser>
        <c:dLbls>
          <c:showLegendKey val="0"/>
          <c:showVal val="0"/>
          <c:showCatName val="0"/>
          <c:showSerName val="0"/>
          <c:showPercent val="0"/>
          <c:showBubbleSize val="0"/>
        </c:dLbls>
        <c:marker val="1"/>
        <c:smooth val="0"/>
        <c:axId val="514589536"/>
        <c:axId val="514590368"/>
      </c:lineChart>
      <c:catAx>
        <c:axId val="5145895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4590368"/>
        <c:crosses val="autoZero"/>
        <c:auto val="1"/>
        <c:lblAlgn val="ctr"/>
        <c:lblOffset val="100"/>
        <c:noMultiLvlLbl val="0"/>
      </c:catAx>
      <c:valAx>
        <c:axId val="514590368"/>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4589536"/>
        <c:crosses val="autoZero"/>
        <c:crossBetween val="between"/>
      </c:valAx>
      <c:spPr>
        <a:noFill/>
        <a:ln>
          <a:noFill/>
        </a:ln>
        <a:effectLst/>
      </c:spPr>
    </c:plotArea>
    <c:legend>
      <c:legendPos val="b"/>
      <c:layout>
        <c:manualLayout>
          <c:xMode val="edge"/>
          <c:yMode val="edge"/>
          <c:x val="4.6459797535224542E-3"/>
          <c:y val="0.71983745018441336"/>
          <c:w val="0.97157676803401938"/>
          <c:h val="0.191685976637897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400" b="1" i="0" u="none" strike="noStrike" baseline="0">
                <a:effectLst>
                  <a:outerShdw blurRad="50800" dist="38100" dir="5400000" algn="t" rotWithShape="0">
                    <a:prstClr val="black">
                      <a:alpha val="40000"/>
                    </a:prstClr>
                  </a:outerShdw>
                </a:effectLst>
                <a:latin typeface="Calibri" panose="020F0502020204030204" pitchFamily="34" charset="0"/>
                <a:ea typeface="Calibri" panose="020F0502020204030204" pitchFamily="34" charset="0"/>
                <a:cs typeface="Calibri" panose="020F0502020204030204" pitchFamily="34" charset="0"/>
              </a:rPr>
              <a:t>Taxa d’ocupació de les persones titulades, per total centre</a:t>
            </a:r>
            <a:endParaRPr lang="ca-ES" sz="1400">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'PE1.03_Ind04 '!$B$33:$C$33</c:f>
              <c:strCache>
                <c:ptCount val="2"/>
                <c:pt idx="0">
                  <c:v>Compliment</c:v>
                </c:pt>
              </c:strCache>
            </c:strRef>
          </c:tx>
          <c:spPr>
            <a:solidFill>
              <a:schemeClr val="accent1"/>
            </a:solidFill>
            <a:ln>
              <a:solidFill>
                <a:schemeClr val="accent1"/>
              </a:solidFill>
            </a:ln>
            <a:effectLst>
              <a:outerShdw blurRad="57150" dist="19050" dir="5400000" algn="ctr" rotWithShape="0">
                <a:srgbClr val="000000">
                  <a:alpha val="63000"/>
                </a:srgbClr>
              </a:outerShdw>
            </a:effectLst>
          </c:spPr>
          <c:invertIfNegative val="0"/>
          <c:dPt>
            <c:idx val="0"/>
            <c:invertIfNegative val="0"/>
            <c:bubble3D val="0"/>
            <c:spPr>
              <a:solidFill>
                <a:schemeClr val="accent1"/>
              </a:solidFill>
              <a:ln>
                <a:solidFill>
                  <a:schemeClr val="accent1"/>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146A-4B69-8810-E27D73DFDA6F}"/>
              </c:ext>
            </c:extLst>
          </c:dPt>
          <c:dPt>
            <c:idx val="1"/>
            <c:invertIfNegative val="0"/>
            <c:bubble3D val="0"/>
            <c:spPr>
              <a:solidFill>
                <a:schemeClr val="accent1"/>
              </a:solidFill>
              <a:ln>
                <a:solidFill>
                  <a:schemeClr val="accent1"/>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146A-4B69-8810-E27D73DFDA6F}"/>
              </c:ext>
            </c:extLst>
          </c:dPt>
          <c:dPt>
            <c:idx val="2"/>
            <c:invertIfNegative val="0"/>
            <c:bubble3D val="0"/>
            <c:spPr>
              <a:solidFill>
                <a:schemeClr val="accent1"/>
              </a:solidFill>
              <a:ln>
                <a:solidFill>
                  <a:schemeClr val="accent1"/>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146A-4B69-8810-E27D73DFDA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'PE1.03_Ind04 '!$D$14:$G$14</c:f>
              <c:numCache>
                <c:formatCode>General</c:formatCode>
                <c:ptCount val="4"/>
                <c:pt idx="0">
                  <c:v>2014</c:v>
                </c:pt>
                <c:pt idx="1">
                  <c:v>2017</c:v>
                </c:pt>
                <c:pt idx="2">
                  <c:v>2020</c:v>
                </c:pt>
                <c:pt idx="3">
                  <c:v>2023</c:v>
                </c:pt>
              </c:numCache>
            </c:numRef>
          </c:cat>
          <c:val>
            <c:numRef>
              <c:f>'PE1.03_Ind04 '!$D$33:$G$33</c:f>
              <c:numCache>
                <c:formatCode>0.00%</c:formatCode>
                <c:ptCount val="4"/>
                <c:pt idx="0">
                  <c:v>1</c:v>
                </c:pt>
                <c:pt idx="1">
                  <c:v>0.8</c:v>
                </c:pt>
                <c:pt idx="2">
                  <c:v>1</c:v>
                </c:pt>
                <c:pt idx="3">
                  <c:v>1</c:v>
                </c:pt>
              </c:numCache>
            </c:numRef>
          </c:val>
          <c:extLst>
            <c:ext xmlns:c16="http://schemas.microsoft.com/office/drawing/2014/chart" uri="{C3380CC4-5D6E-409C-BE32-E72D297353CC}">
              <c16:uniqueId val="{00000006-146A-4B69-8810-E27D73DFDA6F}"/>
            </c:ext>
          </c:extLst>
        </c:ser>
        <c:dLbls>
          <c:showLegendKey val="0"/>
          <c:showVal val="1"/>
          <c:showCatName val="0"/>
          <c:showSerName val="0"/>
          <c:showPercent val="0"/>
          <c:showBubbleSize val="0"/>
        </c:dLbls>
        <c:gapWidth val="100"/>
        <c:axId val="843978336"/>
        <c:axId val="843978752"/>
      </c:barChart>
      <c:lineChart>
        <c:grouping val="standard"/>
        <c:varyColors val="0"/>
        <c:ser>
          <c:idx val="1"/>
          <c:order val="1"/>
          <c:tx>
            <c:strRef>
              <c:f>'PE1.03_Ind04 '!$B$32:$C$32</c:f>
              <c:strCache>
                <c:ptCount val="2"/>
                <c:pt idx="0">
                  <c:v>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dLbls>
            <c:dLbl>
              <c:idx val="0"/>
              <c:layout>
                <c:manualLayout>
                  <c:x val="2.499999999999994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6A-4B69-8810-E27D73DFDA6F}"/>
                </c:ext>
              </c:extLst>
            </c:dLbl>
            <c:dLbl>
              <c:idx val="1"/>
              <c:layout>
                <c:manualLayout>
                  <c:x val="2.5000000000000001E-2"/>
                  <c:y val="5.5555555555555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6A-4B69-8810-E27D73DFDA6F}"/>
                </c:ext>
              </c:extLst>
            </c:dLbl>
            <c:dLbl>
              <c:idx val="2"/>
              <c:layout>
                <c:manualLayout>
                  <c:x val="3.3333333333333333E-2"/>
                  <c:y val="6.4814814814814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6A-4B69-8810-E27D73DFDA6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'PE1.03_Ind04 '!$D$14:$G$14</c:f>
              <c:numCache>
                <c:formatCode>General</c:formatCode>
                <c:ptCount val="4"/>
                <c:pt idx="0">
                  <c:v>2014</c:v>
                </c:pt>
                <c:pt idx="1">
                  <c:v>2017</c:v>
                </c:pt>
                <c:pt idx="2">
                  <c:v>2020</c:v>
                </c:pt>
                <c:pt idx="3">
                  <c:v>2023</c:v>
                </c:pt>
              </c:numCache>
            </c:numRef>
          </c:cat>
          <c:val>
            <c:numRef>
              <c:f>'PE1.03_Ind04 '!$D$32:$G$32</c:f>
              <c:numCache>
                <c:formatCode>0.00%</c:formatCode>
                <c:ptCount val="4"/>
                <c:pt idx="0">
                  <c:v>0.7</c:v>
                </c:pt>
                <c:pt idx="1">
                  <c:v>0.7</c:v>
                </c:pt>
                <c:pt idx="2">
                  <c:v>0.7</c:v>
                </c:pt>
                <c:pt idx="3">
                  <c:v>0.7</c:v>
                </c:pt>
              </c:numCache>
            </c:numRef>
          </c:val>
          <c:smooth val="0"/>
          <c:extLst>
            <c:ext xmlns:c16="http://schemas.microsoft.com/office/drawing/2014/chart" uri="{C3380CC4-5D6E-409C-BE32-E72D297353CC}">
              <c16:uniqueId val="{0000000A-146A-4B69-8810-E27D73DFDA6F}"/>
            </c:ext>
          </c:extLst>
        </c:ser>
        <c:dLbls>
          <c:showLegendKey val="0"/>
          <c:showVal val="1"/>
          <c:showCatName val="0"/>
          <c:showSerName val="0"/>
          <c:showPercent val="0"/>
          <c:showBubbleSize val="0"/>
        </c:dLbls>
        <c:marker val="1"/>
        <c:smooth val="0"/>
        <c:axId val="843978336"/>
        <c:axId val="843978752"/>
      </c:lineChart>
      <c:catAx>
        <c:axId val="8439783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43978752"/>
        <c:crosses val="autoZero"/>
        <c:auto val="1"/>
        <c:lblAlgn val="ctr"/>
        <c:lblOffset val="100"/>
        <c:noMultiLvlLbl val="0"/>
      </c:catAx>
      <c:valAx>
        <c:axId val="843978752"/>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43978336"/>
        <c:crosses val="autoZero"/>
        <c:crossBetween val="between"/>
      </c:valAx>
      <c:spPr>
        <a:noFill/>
        <a:ln>
          <a:solidFill>
            <a:schemeClr val="accent4">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t>PE1.02_Ind01. Percentatge de processos modificats en cada revisió</a:t>
            </a:r>
          </a:p>
        </c:rich>
      </c:tx>
      <c:layout>
        <c:manualLayout>
          <c:xMode val="edge"/>
          <c:yMode val="edge"/>
          <c:x val="0.13295830889601556"/>
          <c:y val="0"/>
        </c:manualLayout>
      </c:layout>
      <c:overlay val="0"/>
      <c:spPr>
        <a:noFill/>
        <a:ln>
          <a:noFill/>
        </a:ln>
        <a:effectLst/>
      </c:spPr>
      <c:txPr>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7.8061587372001015E-2"/>
          <c:y val="3.7037083053652969E-2"/>
          <c:w val="0.89513867016622917"/>
          <c:h val="0.84731481481481485"/>
        </c:manualLayout>
      </c:layout>
      <c:barChart>
        <c:barDir val="col"/>
        <c:grouping val="clustered"/>
        <c:varyColors val="0"/>
        <c:ser>
          <c:idx val="0"/>
          <c:order val="0"/>
          <c:tx>
            <c:strRef>
              <c:f>'PE1.03_Ind05'!$C$14</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'PE1.03_Ind05'!$F$14:$K$14</c:f>
              <c:strCache>
                <c:ptCount val="6"/>
                <c:pt idx="0">
                  <c:v>2019/2020</c:v>
                </c:pt>
                <c:pt idx="1">
                  <c:v>2020/2021</c:v>
                </c:pt>
                <c:pt idx="2">
                  <c:v>2021/2022</c:v>
                </c:pt>
                <c:pt idx="3">
                  <c:v>2022/2023</c:v>
                </c:pt>
                <c:pt idx="4">
                  <c:v>2023/2024</c:v>
                </c:pt>
                <c:pt idx="5">
                  <c:v>2024/2025</c:v>
                </c:pt>
              </c:strCache>
            </c:strRef>
          </c:cat>
          <c:val>
            <c:numRef>
              <c:f>'PE1.03_Ind05'!$D$14:$J$14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23D-4470-95BF-EC3C9CF232BB}"/>
            </c:ext>
          </c:extLst>
        </c:ser>
        <c:ser>
          <c:idx val="1"/>
          <c:order val="1"/>
          <c:tx>
            <c:strRef>
              <c:f>'PE1.03_Ind05'!$B$17</c:f>
              <c:strCache>
                <c:ptCount val="1"/>
                <c:pt idx="0">
                  <c:v>% titulacions presentades per ser verificades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223D-4470-95BF-EC3C9CF232BB}"/>
              </c:ext>
            </c:extLst>
          </c:dPt>
          <c:dPt>
            <c:idx val="1"/>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223D-4470-95BF-EC3C9CF232BB}"/>
              </c:ext>
            </c:extLst>
          </c:dPt>
          <c:dPt>
            <c:idx val="2"/>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223D-4470-95BF-EC3C9CF232BB}"/>
              </c:ext>
            </c:extLst>
          </c:dPt>
          <c:dPt>
            <c:idx val="3"/>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223D-4470-95BF-EC3C9CF232BB}"/>
              </c:ext>
            </c:extLst>
          </c:dPt>
          <c:dPt>
            <c:idx val="4"/>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223D-4470-95BF-EC3C9CF232BB}"/>
              </c:ext>
            </c:extLst>
          </c:dPt>
          <c:dPt>
            <c:idx val="5"/>
            <c:invertIfNegative val="0"/>
            <c:bubble3D val="0"/>
            <c:spPr>
              <a:solidFill>
                <a:srgbClr val="66FF33"/>
              </a:solidFill>
              <a:ln>
                <a:solidFill>
                  <a:schemeClr val="bg1"/>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A-1437-4666-9642-90826733C9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'PE1.03_Ind05'!$F$14:$K$14</c:f>
              <c:strCache>
                <c:ptCount val="6"/>
                <c:pt idx="0">
                  <c:v>2019/2020</c:v>
                </c:pt>
                <c:pt idx="1">
                  <c:v>2020/2021</c:v>
                </c:pt>
                <c:pt idx="2">
                  <c:v>2021/2022</c:v>
                </c:pt>
                <c:pt idx="3">
                  <c:v>2022/2023</c:v>
                </c:pt>
                <c:pt idx="4">
                  <c:v>2023/2024</c:v>
                </c:pt>
                <c:pt idx="5">
                  <c:v>2024/2025</c:v>
                </c:pt>
              </c:strCache>
            </c:strRef>
          </c:cat>
          <c:val>
            <c:numRef>
              <c:f>'PE1.03_Ind05'!$F$17:$K$17</c:f>
              <c:numCache>
                <c:formatCode>0.00%</c:formatCode>
                <c:ptCount val="6"/>
                <c:pt idx="0">
                  <c:v>6.6666666666666666E-2</c:v>
                </c:pt>
                <c:pt idx="1">
                  <c:v>0</c:v>
                </c:pt>
                <c:pt idx="2">
                  <c:v>0.2</c:v>
                </c:pt>
                <c:pt idx="3">
                  <c:v>0</c:v>
                </c:pt>
                <c:pt idx="4">
                  <c:v>0.2</c:v>
                </c:pt>
                <c:pt idx="5">
                  <c:v>0.13333333333333333</c:v>
                </c:pt>
              </c:numCache>
            </c:numRef>
          </c:val>
          <c:extLst>
            <c:ext xmlns:c16="http://schemas.microsoft.com/office/drawing/2014/chart" uri="{C3380CC4-5D6E-409C-BE32-E72D297353CC}">
              <c16:uniqueId val="{00000001-223D-4470-95BF-EC3C9CF232BB}"/>
            </c:ext>
          </c:extLst>
        </c:ser>
        <c:dLbls>
          <c:showLegendKey val="0"/>
          <c:showVal val="1"/>
          <c:showCatName val="0"/>
          <c:showSerName val="0"/>
          <c:showPercent val="0"/>
          <c:showBubbleSize val="0"/>
        </c:dLbls>
        <c:gapWidth val="219"/>
        <c:axId val="642390063"/>
        <c:axId val="513460655"/>
      </c:barChart>
      <c:lineChart>
        <c:grouping val="standard"/>
        <c:varyColors val="0"/>
        <c:ser>
          <c:idx val="2"/>
          <c:order val="2"/>
          <c:tx>
            <c:strRef>
              <c:f>'PE1.03_Ind05'!$F$14:$K$14</c:f>
              <c:strCache>
                <c:ptCount val="6"/>
                <c:pt idx="0">
                  <c:v>2019/2020</c:v>
                </c:pt>
                <c:pt idx="1">
                  <c:v>2020/2021</c:v>
                </c:pt>
                <c:pt idx="2">
                  <c:v>2021/2022</c:v>
                </c:pt>
                <c:pt idx="3">
                  <c:v>2022/2023</c:v>
                </c:pt>
                <c:pt idx="4">
                  <c:v>2023/2024</c:v>
                </c:pt>
                <c:pt idx="5">
                  <c:v>2024/2025</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'PE1.03_Ind05'!$D$14:$H$14</c:f>
              <c:strCache>
                <c:ptCount val="5"/>
                <c:pt idx="0">
                  <c:v>2017/2018</c:v>
                </c:pt>
                <c:pt idx="1">
                  <c:v>2018/2019</c:v>
                </c:pt>
                <c:pt idx="2">
                  <c:v>2019/2020</c:v>
                </c:pt>
                <c:pt idx="3">
                  <c:v>2020/2021</c:v>
                </c:pt>
                <c:pt idx="4">
                  <c:v>2021/2022</c:v>
                </c:pt>
              </c:strCache>
            </c:strRef>
          </c:cat>
          <c:val>
            <c:numRef>
              <c:f>'PE1.03_Ind05'!$D$18:$K$18</c:f>
              <c:numCache>
                <c:formatCode>0.00%</c:formatCode>
                <c:ptCount val="8"/>
                <c:pt idx="0">
                  <c:v>0.25</c:v>
                </c:pt>
                <c:pt idx="1">
                  <c:v>0.25</c:v>
                </c:pt>
                <c:pt idx="2">
                  <c:v>0.25</c:v>
                </c:pt>
                <c:pt idx="3">
                  <c:v>0.25</c:v>
                </c:pt>
                <c:pt idx="4">
                  <c:v>0.25</c:v>
                </c:pt>
                <c:pt idx="5">
                  <c:v>0.25</c:v>
                </c:pt>
                <c:pt idx="6">
                  <c:v>0.25</c:v>
                </c:pt>
                <c:pt idx="7">
                  <c:v>0.25</c:v>
                </c:pt>
              </c:numCache>
            </c:numRef>
          </c:val>
          <c:smooth val="0"/>
          <c:extLst>
            <c:ext xmlns:c16="http://schemas.microsoft.com/office/drawing/2014/chart" uri="{C3380CC4-5D6E-409C-BE32-E72D297353CC}">
              <c16:uniqueId val="{00000002-223D-4470-95BF-EC3C9CF232BB}"/>
            </c:ext>
          </c:extLst>
        </c:ser>
        <c:dLbls>
          <c:showLegendKey val="0"/>
          <c:showVal val="1"/>
          <c:showCatName val="0"/>
          <c:showSerName val="0"/>
          <c:showPercent val="0"/>
          <c:showBubbleSize val="0"/>
        </c:dLbls>
        <c:marker val="1"/>
        <c:smooth val="0"/>
        <c:axId val="642390063"/>
        <c:axId val="513460655"/>
      </c:lineChart>
      <c:catAx>
        <c:axId val="64239006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3460655"/>
        <c:crosses val="autoZero"/>
        <c:auto val="1"/>
        <c:lblAlgn val="ctr"/>
        <c:lblOffset val="100"/>
        <c:noMultiLvlLbl val="0"/>
      </c:catAx>
      <c:valAx>
        <c:axId val="513460655"/>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2390063"/>
        <c:crosses val="autoZero"/>
        <c:crossBetween val="between"/>
      </c:valAx>
      <c:spPr>
        <a:noFill/>
        <a:ln>
          <a:noFill/>
        </a:ln>
        <a:effectLst/>
      </c:spPr>
    </c:plotArea>
    <c:legend>
      <c:legendPos val="r"/>
      <c:legendEntry>
        <c:idx val="0"/>
        <c:delete val="1"/>
      </c:legendEntry>
      <c:layout>
        <c:manualLayout>
          <c:xMode val="edge"/>
          <c:yMode val="edge"/>
          <c:x val="8.9254651409461275E-2"/>
          <c:y val="0.31036188168786594"/>
          <c:w val="0.14477607097844941"/>
          <c:h val="0.180731244222745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t>PE1.02_Ind01. Percentatge de processos modificats en cada revisió</a:t>
            </a:r>
          </a:p>
        </c:rich>
      </c:tx>
      <c:layout>
        <c:manualLayout>
          <c:xMode val="edge"/>
          <c:yMode val="edge"/>
          <c:x val="0.13295830889601556"/>
          <c:y val="0"/>
        </c:manualLayout>
      </c:layout>
      <c:overlay val="0"/>
      <c:spPr>
        <a:noFill/>
        <a:ln>
          <a:noFill/>
        </a:ln>
        <a:effectLst/>
      </c:spPr>
      <c:txPr>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7.430577427821522E-2"/>
          <c:y val="3.7037037037037035E-2"/>
          <c:w val="0.89513867016622917"/>
          <c:h val="0.84731481481481485"/>
        </c:manualLayout>
      </c:layout>
      <c:barChart>
        <c:barDir val="col"/>
        <c:grouping val="clustered"/>
        <c:varyColors val="0"/>
        <c:ser>
          <c:idx val="0"/>
          <c:order val="0"/>
          <c:tx>
            <c:strRef>
              <c:f>'PE1.03_Ind06'!$C$14</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'PE1.03_Ind06'!$G$14:$J$14</c:f>
              <c:strCache>
                <c:ptCount val="4"/>
                <c:pt idx="0">
                  <c:v>2020/2021</c:v>
                </c:pt>
                <c:pt idx="1">
                  <c:v>2021/2022</c:v>
                </c:pt>
                <c:pt idx="2">
                  <c:v>2022/2023</c:v>
                </c:pt>
                <c:pt idx="3">
                  <c:v>2023/2024</c:v>
                </c:pt>
              </c:strCache>
            </c:strRef>
          </c:cat>
          <c:val>
            <c:numRef>
              <c:f>'PE1.03_Ind06'!$G$14:$J$14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FC91-4CFE-AEAF-EF3C5665FCF5}"/>
            </c:ext>
          </c:extLst>
        </c:ser>
        <c:ser>
          <c:idx val="1"/>
          <c:order val="1"/>
          <c:tx>
            <c:strRef>
              <c:f>'PE1.03_Ind06'!$B$17</c:f>
              <c:strCache>
                <c:ptCount val="1"/>
                <c:pt idx="0">
                  <c:v>% titulacions presentades per ser verificades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FC91-4CFE-AEAF-EF3C5665FCF5}"/>
              </c:ext>
            </c:extLst>
          </c:dPt>
          <c:dPt>
            <c:idx val="1"/>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FC91-4CFE-AEAF-EF3C5665FCF5}"/>
              </c:ext>
            </c:extLst>
          </c:dPt>
          <c:dPt>
            <c:idx val="2"/>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FC91-4CFE-AEAF-EF3C5665FCF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'PE1.03_Ind06'!$G$14:$J$14</c:f>
              <c:strCache>
                <c:ptCount val="4"/>
                <c:pt idx="0">
                  <c:v>2020/2021</c:v>
                </c:pt>
                <c:pt idx="1">
                  <c:v>2021/2022</c:v>
                </c:pt>
                <c:pt idx="2">
                  <c:v>2022/2023</c:v>
                </c:pt>
                <c:pt idx="3">
                  <c:v>2023/2024</c:v>
                </c:pt>
              </c:strCache>
            </c:strRef>
          </c:cat>
          <c:val>
            <c:numRef>
              <c:f>'PE1.03_Ind06'!$G$17:$J$17</c:f>
              <c:numCache>
                <c:formatCode>0.00%</c:formatCode>
                <c:ptCount val="4"/>
                <c:pt idx="0">
                  <c:v>0</c:v>
                </c:pt>
                <c:pt idx="1">
                  <c:v>0</c:v>
                </c:pt>
                <c:pt idx="2">
                  <c:v>0</c:v>
                </c:pt>
                <c:pt idx="3">
                  <c:v>0.2</c:v>
                </c:pt>
              </c:numCache>
            </c:numRef>
          </c:val>
          <c:extLst>
            <c:ext xmlns:c16="http://schemas.microsoft.com/office/drawing/2014/chart" uri="{C3380CC4-5D6E-409C-BE32-E72D297353CC}">
              <c16:uniqueId val="{0000000B-FC91-4CFE-AEAF-EF3C5665FCF5}"/>
            </c:ext>
          </c:extLst>
        </c:ser>
        <c:dLbls>
          <c:showLegendKey val="0"/>
          <c:showVal val="1"/>
          <c:showCatName val="0"/>
          <c:showSerName val="0"/>
          <c:showPercent val="0"/>
          <c:showBubbleSize val="0"/>
        </c:dLbls>
        <c:gapWidth val="219"/>
        <c:axId val="642390063"/>
        <c:axId val="513460655"/>
      </c:barChart>
      <c:lineChart>
        <c:grouping val="standard"/>
        <c:varyColors val="0"/>
        <c:ser>
          <c:idx val="2"/>
          <c:order val="2"/>
          <c:tx>
            <c:strRef>
              <c:f>'PE1.03_Ind06'!$B$18</c:f>
              <c:strCache>
                <c:ptCount val="1"/>
                <c:pt idx="0">
                  <c:v>Objectiu màx 25</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'PE1.03_Ind06'!$D$14:$H$14</c:f>
              <c:strCache>
                <c:ptCount val="5"/>
                <c:pt idx="0">
                  <c:v>2017/2018</c:v>
                </c:pt>
                <c:pt idx="1">
                  <c:v>2018/2019</c:v>
                </c:pt>
                <c:pt idx="2">
                  <c:v>2019/2020</c:v>
                </c:pt>
                <c:pt idx="3">
                  <c:v>2020/2021</c:v>
                </c:pt>
                <c:pt idx="4">
                  <c:v>2021/2022</c:v>
                </c:pt>
              </c:strCache>
            </c:strRef>
          </c:cat>
          <c:val>
            <c:numRef>
              <c:f>'PE1.03_Ind06'!$D$18:$H$18</c:f>
              <c:numCache>
                <c:formatCode>0.00%</c:formatCode>
                <c:ptCount val="5"/>
                <c:pt idx="0">
                  <c:v>0.25</c:v>
                </c:pt>
                <c:pt idx="1">
                  <c:v>0.25</c:v>
                </c:pt>
                <c:pt idx="2">
                  <c:v>0.25</c:v>
                </c:pt>
                <c:pt idx="3">
                  <c:v>0.25</c:v>
                </c:pt>
                <c:pt idx="4">
                  <c:v>0.25</c:v>
                </c:pt>
              </c:numCache>
            </c:numRef>
          </c:val>
          <c:smooth val="0"/>
          <c:extLst>
            <c:ext xmlns:c16="http://schemas.microsoft.com/office/drawing/2014/chart" uri="{C3380CC4-5D6E-409C-BE32-E72D297353CC}">
              <c16:uniqueId val="{0000000C-FC91-4CFE-AEAF-EF3C5665FCF5}"/>
            </c:ext>
          </c:extLst>
        </c:ser>
        <c:dLbls>
          <c:showLegendKey val="0"/>
          <c:showVal val="1"/>
          <c:showCatName val="0"/>
          <c:showSerName val="0"/>
          <c:showPercent val="0"/>
          <c:showBubbleSize val="0"/>
        </c:dLbls>
        <c:marker val="1"/>
        <c:smooth val="0"/>
        <c:axId val="642390063"/>
        <c:axId val="513460655"/>
      </c:lineChart>
      <c:catAx>
        <c:axId val="64239006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3460655"/>
        <c:crosses val="autoZero"/>
        <c:auto val="1"/>
        <c:lblAlgn val="ctr"/>
        <c:lblOffset val="100"/>
        <c:noMultiLvlLbl val="0"/>
      </c:catAx>
      <c:valAx>
        <c:axId val="513460655"/>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2390063"/>
        <c:crosses val="autoZero"/>
        <c:crossBetween val="between"/>
      </c:valAx>
      <c:spPr>
        <a:noFill/>
        <a:ln>
          <a:noFill/>
        </a:ln>
        <a:effectLst/>
      </c:spPr>
    </c:plotArea>
    <c:legend>
      <c:legendPos val="r"/>
      <c:layout>
        <c:manualLayout>
          <c:xMode val="edge"/>
          <c:yMode val="edge"/>
          <c:x val="8.9254651409461275E-2"/>
          <c:y val="0.31036188168786594"/>
          <c:w val="0.14477607097844941"/>
          <c:h val="0.180731244222745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t>PE1.02_Ind01. Percentatge de processos modificats en cada revisió</a:t>
            </a:r>
          </a:p>
        </c:rich>
      </c:tx>
      <c:layout>
        <c:manualLayout>
          <c:xMode val="edge"/>
          <c:yMode val="edge"/>
          <c:x val="0.13295830889601556"/>
          <c:y val="0"/>
        </c:manualLayout>
      </c:layout>
      <c:overlay val="0"/>
      <c:spPr>
        <a:noFill/>
        <a:ln>
          <a:noFill/>
        </a:ln>
        <a:effectLst/>
      </c:spPr>
      <c:txPr>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7.430577427821522E-2"/>
          <c:y val="3.7037037037037035E-2"/>
          <c:w val="0.89513867016622917"/>
          <c:h val="0.84731481481481485"/>
        </c:manualLayout>
      </c:layout>
      <c:barChart>
        <c:barDir val="col"/>
        <c:grouping val="clustered"/>
        <c:varyColors val="0"/>
        <c:ser>
          <c:idx val="0"/>
          <c:order val="0"/>
          <c:tx>
            <c:strRef>
              <c:f>'PE1.03_Ind07'!$C$14</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'PE1.03_Ind07'!$G$14:$J$14</c15:sqref>
                  </c15:fullRef>
                </c:ext>
              </c:extLst>
              <c:f>'PE1.03_Ind07'!$G$14:$J$14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'PE1.03_Ind07'!$D$14:$H$14</c15:sqref>
                  </c15:fullRef>
                </c:ext>
              </c:extLst>
              <c:f>'PE1.03_Ind07'!$D$14:$G$14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CA65-4FDE-AE51-86B3FEDAEEB5}"/>
            </c:ext>
          </c:extLst>
        </c:ser>
        <c:ser>
          <c:idx val="1"/>
          <c:order val="1"/>
          <c:tx>
            <c:strRef>
              <c:f>'PE1.03_Ind07'!$B$17</c:f>
              <c:strCache>
                <c:ptCount val="1"/>
                <c:pt idx="0">
                  <c:v>% titulacions presentades per ser verificades</c:v>
                </c:pt>
              </c:strCache>
            </c:strRef>
          </c:tx>
          <c:spPr>
            <a:solidFill>
              <a:srgbClr val="66FF33"/>
            </a:solidFill>
            <a:ln>
              <a:noFill/>
            </a:ln>
            <a:effectLst>
              <a:outerShdw blurRad="57150" dist="19050" dir="5400000" algn="ctr" rotWithShape="0">
                <a:srgbClr val="000000">
                  <a:alpha val="63000"/>
                </a:srgbClr>
              </a:outerShdw>
            </a:effectLst>
          </c:spPr>
          <c:invertIfNegative val="0"/>
          <c:dPt>
            <c:idx val="0"/>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CA65-4FDE-AE51-86B3FEDAEEB5}"/>
              </c:ext>
            </c:extLst>
          </c:dPt>
          <c:dPt>
            <c:idx val="1"/>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CA65-4FDE-AE51-86B3FEDAEEB5}"/>
              </c:ext>
            </c:extLst>
          </c:dPt>
          <c:dPt>
            <c:idx val="2"/>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CA65-4FDE-AE51-86B3FEDAEEB5}"/>
              </c:ext>
            </c:extLst>
          </c:dPt>
          <c:dPt>
            <c:idx val="3"/>
            <c:invertIfNegative val="0"/>
            <c:bubble3D val="0"/>
            <c:extLst>
              <c:ext xmlns:c16="http://schemas.microsoft.com/office/drawing/2014/chart" uri="{C3380CC4-5D6E-409C-BE32-E72D297353CC}">
                <c16:uniqueId val="{00000008-CA65-4FDE-AE51-86B3FEDAEEB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'PE1.03_Ind07'!$G$14:$J$14</c15:sqref>
                  </c15:fullRef>
                </c:ext>
              </c:extLst>
              <c:f>'PE1.03_Ind07'!$G$14:$J$14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'PE1.03_Ind07'!$G$17:$J$17</c15:sqref>
                  </c15:fullRef>
                </c:ext>
              </c:extLst>
              <c:f>'PE1.03_Ind07'!$G$17:$J$17</c:f>
              <c:numCache>
                <c:formatCode>0.00%</c:formatCode>
                <c:ptCount val="4"/>
                <c:pt idx="0">
                  <c:v>0</c:v>
                </c:pt>
                <c:pt idx="1">
                  <c:v>0</c:v>
                </c:pt>
                <c:pt idx="2">
                  <c:v>6.6666666666666666E-2</c:v>
                </c:pt>
                <c:pt idx="3">
                  <c:v>6.6666666666666666E-2</c:v>
                </c:pt>
              </c:numCache>
            </c:numRef>
          </c:val>
          <c:extLst>
            <c:ext xmlns:c16="http://schemas.microsoft.com/office/drawing/2014/chart" uri="{C3380CC4-5D6E-409C-BE32-E72D297353CC}">
              <c16:uniqueId val="{0000000B-CA65-4FDE-AE51-86B3FEDAEEB5}"/>
            </c:ext>
          </c:extLst>
        </c:ser>
        <c:dLbls>
          <c:showLegendKey val="0"/>
          <c:showVal val="1"/>
          <c:showCatName val="0"/>
          <c:showSerName val="0"/>
          <c:showPercent val="0"/>
          <c:showBubbleSize val="0"/>
        </c:dLbls>
        <c:gapWidth val="219"/>
        <c:axId val="642390063"/>
        <c:axId val="513460655"/>
      </c:barChart>
      <c:lineChart>
        <c:grouping val="standard"/>
        <c:varyColors val="0"/>
        <c:ser>
          <c:idx val="2"/>
          <c:order val="2"/>
          <c:tx>
            <c:strRef>
              <c:f>'PE1.03_Ind07'!$G$18:$J$18</c:f>
              <c:strCache>
                <c:ptCount val="4"/>
                <c:pt idx="0">
                  <c:v>10,00%</c:v>
                </c:pt>
                <c:pt idx="1">
                  <c:v>10,00%</c:v>
                </c:pt>
                <c:pt idx="2">
                  <c:v>10,00%</c:v>
                </c:pt>
                <c:pt idx="3">
                  <c:v>10,00%</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'PE1.03_Ind07'!$D$14:$H$14</c15:sqref>
                  </c15:fullRef>
                </c:ext>
              </c:extLst>
              <c:f>'PE1.03_Ind07'!$D$14:$G$14</c:f>
              <c:strCache>
                <c:ptCount val="4"/>
                <c:pt idx="0">
                  <c:v>2017/2018</c:v>
                </c:pt>
                <c:pt idx="1">
                  <c:v>2018/2019</c:v>
                </c:pt>
                <c:pt idx="2">
                  <c:v>2019/2020</c:v>
                </c:pt>
                <c:pt idx="3">
                  <c:v>2020/2021</c:v>
                </c:pt>
              </c:strCache>
            </c:strRef>
          </c:cat>
          <c:val>
            <c:numRef>
              <c:extLst>
                <c:ext xmlns:c15="http://schemas.microsoft.com/office/drawing/2012/chart" uri="{02D57815-91ED-43cb-92C2-25804820EDAC}">
                  <c15:fullRef>
                    <c15:sqref>'PE1.03_Ind07'!$D$18:$H$18</c15:sqref>
                  </c15:fullRef>
                </c:ext>
              </c:extLst>
              <c:f>'PE1.03_Ind07'!$D$18:$G$18</c:f>
              <c:numCache>
                <c:formatCode>0.00%</c:formatCode>
                <c:ptCount val="4"/>
                <c:pt idx="0">
                  <c:v>0.1</c:v>
                </c:pt>
                <c:pt idx="1">
                  <c:v>0.1</c:v>
                </c:pt>
                <c:pt idx="2">
                  <c:v>0.1</c:v>
                </c:pt>
                <c:pt idx="3">
                  <c:v>0.1</c:v>
                </c:pt>
              </c:numCache>
            </c:numRef>
          </c:val>
          <c:smooth val="0"/>
          <c:extLst>
            <c:ext xmlns:c16="http://schemas.microsoft.com/office/drawing/2014/chart" uri="{C3380CC4-5D6E-409C-BE32-E72D297353CC}">
              <c16:uniqueId val="{0000000C-CA65-4FDE-AE51-86B3FEDAEEB5}"/>
            </c:ext>
          </c:extLst>
        </c:ser>
        <c:dLbls>
          <c:showLegendKey val="0"/>
          <c:showVal val="1"/>
          <c:showCatName val="0"/>
          <c:showSerName val="0"/>
          <c:showPercent val="0"/>
          <c:showBubbleSize val="0"/>
        </c:dLbls>
        <c:marker val="1"/>
        <c:smooth val="0"/>
        <c:axId val="642390063"/>
        <c:axId val="513460655"/>
      </c:lineChart>
      <c:catAx>
        <c:axId val="64239006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3460655"/>
        <c:crosses val="autoZero"/>
        <c:auto val="1"/>
        <c:lblAlgn val="ctr"/>
        <c:lblOffset val="100"/>
        <c:noMultiLvlLbl val="0"/>
      </c:catAx>
      <c:valAx>
        <c:axId val="513460655"/>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2390063"/>
        <c:crosses val="autoZero"/>
        <c:crossBetween val="between"/>
      </c:valAx>
      <c:spPr>
        <a:noFill/>
        <a:ln>
          <a:noFill/>
        </a:ln>
        <a:effectLst/>
      </c:spPr>
    </c:plotArea>
    <c:legend>
      <c:legendPos val="r"/>
      <c:layout>
        <c:manualLayout>
          <c:xMode val="edge"/>
          <c:yMode val="edge"/>
          <c:x val="8.9254651409461275E-2"/>
          <c:y val="0.31036188168786594"/>
          <c:w val="0.14477607097844941"/>
          <c:h val="0.180731244222745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a:latin typeface="Calibri" panose="020F0502020204030204" pitchFamily="34" charset="0"/>
                <a:ea typeface="Calibri" panose="020F0502020204030204" pitchFamily="34" charset="0"/>
                <a:cs typeface="Calibri" panose="020F0502020204030204" pitchFamily="34" charset="0"/>
              </a:rPr>
              <a:t>PC2.01_Ind01. Percentatge de guies docents publicades respecte a les assignatures programades </a:t>
            </a:r>
          </a:p>
        </c:rich>
      </c:tx>
      <c:layout>
        <c:manualLayout>
          <c:xMode val="edge"/>
          <c:yMode val="edge"/>
          <c:x val="0.14436154289004033"/>
          <c:y val="2.4449944994499449E-2"/>
        </c:manualLayout>
      </c:layout>
      <c:overlay val="0"/>
      <c:spPr>
        <a:noFill/>
        <a:ln>
          <a:noFill/>
        </a:ln>
        <a:effectLst/>
      </c:spPr>
    </c:title>
    <c:autoTitleDeleted val="0"/>
    <c:plotArea>
      <c:layout/>
      <c:barChart>
        <c:barDir val="col"/>
        <c:grouping val="clustered"/>
        <c:varyColors val="1"/>
        <c:ser>
          <c:idx val="0"/>
          <c:order val="1"/>
          <c:tx>
            <c:strRef>
              <c:f>'PC2.01_Ind01'!$B$15</c:f>
              <c:strCache>
                <c:ptCount val="1"/>
                <c:pt idx="0">
                  <c:v>Ciències Ambientals</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'PC2.01_Ind01'!$D$15:$J$15</c15:sqref>
                  </c15:fullRef>
                </c:ext>
              </c:extLst>
              <c:f>'PC2.01_Ind01'!$G$15:$J$15</c:f>
              <c:numCache>
                <c:formatCode>0%</c:formatCode>
                <c:ptCount val="4"/>
                <c:pt idx="0">
                  <c:v>1.04</c:v>
                </c:pt>
                <c:pt idx="1">
                  <c:v>1</c:v>
                </c:pt>
                <c:pt idx="2">
                  <c:v>1</c:v>
                </c:pt>
                <c:pt idx="3">
                  <c:v>0.79</c:v>
                </c:pt>
              </c:numCache>
            </c:numRef>
          </c:val>
          <c:extLst>
            <c:ext xmlns:c16="http://schemas.microsoft.com/office/drawing/2014/chart" uri="{C3380CC4-5D6E-409C-BE32-E72D297353CC}">
              <c16:uniqueId val="{00000000-15BA-4C04-9974-6D36A688EFBD}"/>
            </c:ext>
          </c:extLst>
        </c:ser>
        <c:ser>
          <c:idx val="2"/>
          <c:order val="2"/>
          <c:tx>
            <c:strRef>
              <c:f>'PC2.01_Ind01'!$B$16</c:f>
              <c:strCache>
                <c:ptCount val="1"/>
                <c:pt idx="0">
                  <c:v>Estadística Aplicada   </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'PC2.01_Ind01'!$D$16:$J$16</c15:sqref>
                  </c15:fullRef>
                </c:ext>
              </c:extLst>
              <c:f>'PC2.01_Ind01'!$G$16:$J$16</c:f>
              <c:numCache>
                <c:formatCode>0%</c:formatCode>
                <c:ptCount val="4"/>
                <c:pt idx="0">
                  <c:v>0.97</c:v>
                </c:pt>
                <c:pt idx="1">
                  <c:v>1</c:v>
                </c:pt>
                <c:pt idx="2">
                  <c:v>0.9</c:v>
                </c:pt>
                <c:pt idx="3">
                  <c:v>1</c:v>
                </c:pt>
              </c:numCache>
            </c:numRef>
          </c:val>
          <c:extLst>
            <c:ext xmlns:c16="http://schemas.microsoft.com/office/drawing/2014/chart" uri="{C3380CC4-5D6E-409C-BE32-E72D297353CC}">
              <c16:uniqueId val="{00000001-15BA-4C04-9974-6D36A688EFBD}"/>
            </c:ext>
          </c:extLst>
        </c:ser>
        <c:ser>
          <c:idx val="3"/>
          <c:order val="3"/>
          <c:tx>
            <c:strRef>
              <c:f>'PC2.01_Ind01'!$B$17</c:f>
              <c:strCache>
                <c:ptCount val="1"/>
                <c:pt idx="0">
                  <c:v>Física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'PC2.01_Ind01'!$D$17:$J$17</c15:sqref>
                  </c15:fullRef>
                </c:ext>
              </c:extLst>
              <c:f>'PC2.01_Ind01'!$G$17:$J$17</c:f>
              <c:numCache>
                <c:formatCode>0%</c:formatCode>
                <c:ptCount val="4"/>
                <c:pt idx="0">
                  <c:v>1</c:v>
                </c:pt>
                <c:pt idx="1">
                  <c:v>1</c:v>
                </c:pt>
                <c:pt idx="2">
                  <c:v>1.02</c:v>
                </c:pt>
                <c:pt idx="3">
                  <c:v>1</c:v>
                </c:pt>
              </c:numCache>
            </c:numRef>
          </c:val>
          <c:extLst>
            <c:ext xmlns:c16="http://schemas.microsoft.com/office/drawing/2014/chart" uri="{C3380CC4-5D6E-409C-BE32-E72D297353CC}">
              <c16:uniqueId val="{00000002-15BA-4C04-9974-6D36A688EFBD}"/>
            </c:ext>
          </c:extLst>
        </c:ser>
        <c:ser>
          <c:idx val="4"/>
          <c:order val="4"/>
          <c:tx>
            <c:strRef>
              <c:f>'PC2.01_Ind01'!$B$18</c:f>
              <c:strCache>
                <c:ptCount val="1"/>
                <c:pt idx="0">
                  <c:v>Geologia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'PC2.01_Ind01'!$D$18:$J$18</c15:sqref>
                  </c15:fullRef>
                </c:ext>
              </c:extLst>
              <c:f>'PC2.01_Ind01'!$G$18:$J$18</c:f>
              <c:numCache>
                <c:formatCode>0%</c:formatCode>
                <c:ptCount val="4"/>
                <c:pt idx="0">
                  <c:v>0.91</c:v>
                </c:pt>
                <c:pt idx="1">
                  <c:v>1</c:v>
                </c:pt>
                <c:pt idx="2">
                  <c:v>0.67</c:v>
                </c:pt>
                <c:pt idx="3">
                  <c:v>0.95</c:v>
                </c:pt>
              </c:numCache>
            </c:numRef>
          </c:val>
          <c:extLst>
            <c:ext xmlns:c16="http://schemas.microsoft.com/office/drawing/2014/chart" uri="{C3380CC4-5D6E-409C-BE32-E72D297353CC}">
              <c16:uniqueId val="{00000003-15BA-4C04-9974-6D36A688EFBD}"/>
            </c:ext>
          </c:extLst>
        </c:ser>
        <c:ser>
          <c:idx val="5"/>
          <c:order val="5"/>
          <c:tx>
            <c:strRef>
              <c:f>'PC2.01_Ind01'!$B$19</c:f>
              <c:strCache>
                <c:ptCount val="1"/>
                <c:pt idx="0">
                  <c:v>Matemàtica Computacional i Analítica de Dades</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'PC2.01_Ind01'!$D$19:$J$19</c15:sqref>
                  </c15:fullRef>
                </c:ext>
              </c:extLst>
              <c:f>'PC2.01_Ind01'!$G$19:$J$19</c:f>
              <c:numCache>
                <c:formatCode>0%</c:formatCode>
                <c:ptCount val="4"/>
                <c:pt idx="0">
                  <c:v>1</c:v>
                </c:pt>
                <c:pt idx="1">
                  <c:v>1</c:v>
                </c:pt>
                <c:pt idx="2">
                  <c:v>1</c:v>
                </c:pt>
                <c:pt idx="3">
                  <c:v>1</c:v>
                </c:pt>
              </c:numCache>
            </c:numRef>
          </c:val>
          <c:extLst>
            <c:ext xmlns:c16="http://schemas.microsoft.com/office/drawing/2014/chart" uri="{C3380CC4-5D6E-409C-BE32-E72D297353CC}">
              <c16:uniqueId val="{00000004-15BA-4C04-9974-6D36A688EFBD}"/>
            </c:ext>
          </c:extLst>
        </c:ser>
        <c:ser>
          <c:idx val="6"/>
          <c:order val="6"/>
          <c:tx>
            <c:strRef>
              <c:f>'PC2.01_Ind01'!$B$20</c:f>
              <c:strCache>
                <c:ptCount val="1"/>
                <c:pt idx="0">
                  <c:v>Matemàtiques</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'PC2.01_Ind01'!$D$20:$J$20</c15:sqref>
                  </c15:fullRef>
                </c:ext>
              </c:extLst>
              <c:f>'PC2.01_Ind01'!$G$20:$J$20</c:f>
              <c:numCache>
                <c:formatCode>0%</c:formatCode>
                <c:ptCount val="4"/>
                <c:pt idx="0">
                  <c:v>0.9</c:v>
                </c:pt>
                <c:pt idx="1">
                  <c:v>1</c:v>
                </c:pt>
                <c:pt idx="2">
                  <c:v>0.88</c:v>
                </c:pt>
                <c:pt idx="3">
                  <c:v>1</c:v>
                </c:pt>
              </c:numCache>
            </c:numRef>
          </c:val>
          <c:extLst>
            <c:ext xmlns:c16="http://schemas.microsoft.com/office/drawing/2014/chart" uri="{C3380CC4-5D6E-409C-BE32-E72D297353CC}">
              <c16:uniqueId val="{00000005-15BA-4C04-9974-6D36A688EFBD}"/>
            </c:ext>
          </c:extLst>
        </c:ser>
        <c:ser>
          <c:idx val="7"/>
          <c:order val="7"/>
          <c:tx>
            <c:strRef>
              <c:f>'PC2.01_Ind01'!$B$21</c:f>
              <c:strCache>
                <c:ptCount val="1"/>
                <c:pt idx="0">
                  <c:v>Nanociència i Nanotecnologia   </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'PC2.01_Ind01'!$D$21:$J$21</c15:sqref>
                  </c15:fullRef>
                </c:ext>
              </c:extLst>
              <c:f>'PC2.01_Ind01'!$G$21:$J$21</c:f>
              <c:numCache>
                <c:formatCode>0%</c:formatCode>
                <c:ptCount val="4"/>
                <c:pt idx="0">
                  <c:v>0.98</c:v>
                </c:pt>
                <c:pt idx="1">
                  <c:v>0.93</c:v>
                </c:pt>
                <c:pt idx="2">
                  <c:v>0.93</c:v>
                </c:pt>
                <c:pt idx="3">
                  <c:v>1</c:v>
                </c:pt>
              </c:numCache>
            </c:numRef>
          </c:val>
          <c:extLst>
            <c:ext xmlns:c16="http://schemas.microsoft.com/office/drawing/2014/chart" uri="{C3380CC4-5D6E-409C-BE32-E72D297353CC}">
              <c16:uniqueId val="{00000006-15BA-4C04-9974-6D36A688EFBD}"/>
            </c:ext>
          </c:extLst>
        </c:ser>
        <c:ser>
          <c:idx val="8"/>
          <c:order val="8"/>
          <c:tx>
            <c:strRef>
              <c:f>'PC2.01_Ind01'!$B$22</c:f>
              <c:strCache>
                <c:ptCount val="1"/>
                <c:pt idx="0">
                  <c:v>Química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'PC2.01_Ind01'!$D$22:$J$22</c15:sqref>
                  </c15:fullRef>
                </c:ext>
              </c:extLst>
              <c:f>'PC2.01_Ind01'!$G$22:$J$22</c:f>
              <c:numCache>
                <c:formatCode>0%</c:formatCode>
                <c:ptCount val="4"/>
                <c:pt idx="0">
                  <c:v>1</c:v>
                </c:pt>
                <c:pt idx="1">
                  <c:v>1</c:v>
                </c:pt>
                <c:pt idx="2">
                  <c:v>0.98</c:v>
                </c:pt>
                <c:pt idx="3">
                  <c:v>1</c:v>
                </c:pt>
              </c:numCache>
            </c:numRef>
          </c:val>
          <c:extLst>
            <c:ext xmlns:c16="http://schemas.microsoft.com/office/drawing/2014/chart" uri="{C3380CC4-5D6E-409C-BE32-E72D297353CC}">
              <c16:uniqueId val="{00000007-15BA-4C04-9974-6D36A688EFBD}"/>
            </c:ext>
          </c:extLst>
        </c:ser>
        <c:ser>
          <c:idx val="9"/>
          <c:order val="9"/>
          <c:tx>
            <c:strRef>
              <c:f>'PC2.01_Ind01'!$B$23</c:f>
              <c:strCache>
                <c:ptCount val="1"/>
                <c:pt idx="0">
                  <c:v>Estudis inter. en sostenibilitat ambiental, econòmica i social</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'PC2.01_Ind01'!$D$23:$J$23</c15:sqref>
                  </c15:fullRef>
                </c:ext>
              </c:extLst>
              <c:f>'PC2.01_Ind01'!$G$23:$J$23</c:f>
              <c:numCache>
                <c:formatCode>0%</c:formatCode>
                <c:ptCount val="4"/>
                <c:pt idx="0">
                  <c:v>1</c:v>
                </c:pt>
                <c:pt idx="1">
                  <c:v>1</c:v>
                </c:pt>
                <c:pt idx="2">
                  <c:v>1</c:v>
                </c:pt>
                <c:pt idx="3">
                  <c:v>1</c:v>
                </c:pt>
              </c:numCache>
            </c:numRef>
          </c:val>
          <c:extLst>
            <c:ext xmlns:c16="http://schemas.microsoft.com/office/drawing/2014/chart" uri="{C3380CC4-5D6E-409C-BE32-E72D297353CC}">
              <c16:uniqueId val="{00000008-15BA-4C04-9974-6D36A688EFBD}"/>
            </c:ext>
          </c:extLst>
        </c:ser>
        <c:ser>
          <c:idx val="10"/>
          <c:order val="10"/>
          <c:tx>
            <c:strRef>
              <c:f>'PC2.01_Ind01'!$B$24</c:f>
              <c:strCache>
                <c:ptCount val="1"/>
                <c:pt idx="0">
                  <c:v>Física d'Altes Energies, Astrofísica i Cosmologia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'PC2.01_Ind01'!$D$24:$J$24</c15:sqref>
                  </c15:fullRef>
                </c:ext>
              </c:extLst>
              <c:f>'PC2.01_Ind01'!$G$24:$J$24</c:f>
              <c:numCache>
                <c:formatCode>0%</c:formatCode>
                <c:ptCount val="4"/>
                <c:pt idx="0">
                  <c:v>0.36</c:v>
                </c:pt>
                <c:pt idx="1">
                  <c:v>1</c:v>
                </c:pt>
                <c:pt idx="2">
                  <c:v>1</c:v>
                </c:pt>
                <c:pt idx="3">
                  <c:v>1</c:v>
                </c:pt>
              </c:numCache>
            </c:numRef>
          </c:val>
          <c:extLst>
            <c:ext xmlns:c16="http://schemas.microsoft.com/office/drawing/2014/chart" uri="{C3380CC4-5D6E-409C-BE32-E72D297353CC}">
              <c16:uniqueId val="{00000009-15BA-4C04-9974-6D36A688EFBD}"/>
            </c:ext>
          </c:extLst>
        </c:ser>
        <c:ser>
          <c:idx val="11"/>
          <c:order val="11"/>
          <c:tx>
            <c:strRef>
              <c:f>'PC2.01_Ind01'!$B$25</c:f>
              <c:strCache>
                <c:ptCount val="1"/>
                <c:pt idx="0">
                  <c:v>Història de la Ciència: Ciència, història i societat</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'PC2.01_Ind01'!$D$25:$J$25</c15:sqref>
                  </c15:fullRef>
                </c:ext>
              </c:extLst>
              <c:f>'PC2.01_Ind01'!$G$25:$J$25</c:f>
              <c:numCache>
                <c:formatCode>0%</c:formatCode>
                <c:ptCount val="4"/>
                <c:pt idx="0">
                  <c:v>1</c:v>
                </c:pt>
                <c:pt idx="1">
                  <c:v>1</c:v>
                </c:pt>
                <c:pt idx="2">
                  <c:v>1</c:v>
                </c:pt>
                <c:pt idx="3">
                  <c:v>1</c:v>
                </c:pt>
              </c:numCache>
            </c:numRef>
          </c:val>
          <c:extLst>
            <c:ext xmlns:c16="http://schemas.microsoft.com/office/drawing/2014/chart" uri="{C3380CC4-5D6E-409C-BE32-E72D297353CC}">
              <c16:uniqueId val="{0000000A-15BA-4C04-9974-6D36A688EFBD}"/>
            </c:ext>
          </c:extLst>
        </c:ser>
        <c:ser>
          <c:idx val="12"/>
          <c:order val="12"/>
          <c:tx>
            <c:strRef>
              <c:f>'PC2.01_Ind01'!$B$26</c:f>
              <c:strCache>
                <c:ptCount val="1"/>
                <c:pt idx="0">
                  <c:v>Modelització per a la ciència i l'enginyeria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'PC2.01_Ind01'!$D$26:$J$26</c15:sqref>
                  </c15:fullRef>
                </c:ext>
              </c:extLst>
              <c:f>'PC2.01_Ind01'!$G$26:$J$26</c:f>
              <c:numCache>
                <c:formatCode>0%</c:formatCode>
                <c:ptCount val="4"/>
                <c:pt idx="0">
                  <c:v>1</c:v>
                </c:pt>
                <c:pt idx="1">
                  <c:v>1</c:v>
                </c:pt>
                <c:pt idx="2">
                  <c:v>1</c:v>
                </c:pt>
                <c:pt idx="3">
                  <c:v>1</c:v>
                </c:pt>
              </c:numCache>
            </c:numRef>
          </c:val>
          <c:extLst>
            <c:ext xmlns:c16="http://schemas.microsoft.com/office/drawing/2014/chart" uri="{C3380CC4-5D6E-409C-BE32-E72D297353CC}">
              <c16:uniqueId val="{0000000B-15BA-4C04-9974-6D36A688EFBD}"/>
            </c:ext>
          </c:extLst>
        </c:ser>
        <c:ser>
          <c:idx val="13"/>
          <c:order val="13"/>
          <c:tx>
            <c:strRef>
              <c:f>'PC2.01_Ind01'!$B$27</c:f>
              <c:strCache>
                <c:ptCount val="1"/>
                <c:pt idx="0">
                  <c:v>Nanociència i Nanotecnologia avançades </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'PC2.01_Ind01'!$D$27:$J$27</c15:sqref>
                  </c15:fullRef>
                </c:ext>
              </c:extLst>
              <c:f>'PC2.01_Ind01'!$G$27:$J$27</c:f>
              <c:numCache>
                <c:formatCode>0%</c:formatCode>
                <c:ptCount val="4"/>
                <c:pt idx="0">
                  <c:v>1.07</c:v>
                </c:pt>
                <c:pt idx="1">
                  <c:v>0.86</c:v>
                </c:pt>
                <c:pt idx="2">
                  <c:v>1.4</c:v>
                </c:pt>
                <c:pt idx="3">
                  <c:v>0.88</c:v>
                </c:pt>
              </c:numCache>
            </c:numRef>
          </c:val>
          <c:extLst>
            <c:ext xmlns:c16="http://schemas.microsoft.com/office/drawing/2014/chart" uri="{C3380CC4-5D6E-409C-BE32-E72D297353CC}">
              <c16:uniqueId val="{0000000C-15BA-4C04-9974-6D36A688EFBD}"/>
            </c:ext>
          </c:extLst>
        </c:ser>
        <c:ser>
          <c:idx val="16"/>
          <c:order val="14"/>
          <c:tx>
            <c:strRef>
              <c:f>'PC2.01_Ind01'!$B$28</c:f>
              <c:strCache>
                <c:ptCount val="1"/>
                <c:pt idx="0">
                  <c:v>Paleobiologia i Registre Fòssil </c:v>
                </c:pt>
              </c:strCache>
            </c:strRef>
          </c:tx>
          <c:spPr>
            <a:solidFill>
              <a:schemeClr val="accent3">
                <a:lumMod val="75000"/>
              </a:schemeClr>
            </a:solidFill>
          </c:spPr>
          <c:invertIfNegative val="0"/>
          <c:cat>
            <c:strLit>
              <c:ptCount val="4"/>
              <c:pt idx="0">
                <c:v>2020/2021</c:v>
              </c:pt>
              <c:pt idx="1">
                <c:v>2021/2022</c:v>
              </c:pt>
              <c:pt idx="2">
                <c:v>2022/2023</c:v>
              </c:pt>
              <c:pt idx="3">
                <c:v>2023/2024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'PC2.01_Ind01'!$D$28:$J$28</c15:sqref>
                  </c15:fullRef>
                </c:ext>
              </c:extLst>
              <c:f>'PC2.01_Ind01'!$G$28:$J$28</c:f>
              <c:numCache>
                <c:formatCode>0%</c:formatCode>
                <c:ptCount val="4"/>
                <c:pt idx="0">
                  <c:v>0</c:v>
                </c:pt>
                <c:pt idx="1">
                  <c:v>0</c:v>
                </c:pt>
                <c:pt idx="2">
                  <c:v>0</c:v>
                </c:pt>
                <c:pt idx="3">
                  <c:v>1</c:v>
                </c:pt>
              </c:numCache>
            </c:numRef>
          </c:val>
          <c:extLst>
            <c:ext xmlns:c16="http://schemas.microsoft.com/office/drawing/2014/chart" uri="{C3380CC4-5D6E-409C-BE32-E72D297353CC}">
              <c16:uniqueId val="{0000000F-15BA-4C04-9974-6D36A688EFBD}"/>
            </c:ext>
          </c:extLst>
        </c:ser>
        <c:ser>
          <c:idx val="14"/>
          <c:order val="15"/>
          <c:tx>
            <c:strRef>
              <c:f>'PC2.01_Ind01'!$B$29</c:f>
              <c:strCache>
                <c:ptCount val="1"/>
                <c:pt idx="0">
                  <c:v>Química industrial i introducció a la recerca química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'PC2.01_Ind01'!$D$29:$J$29</c15:sqref>
                  </c15:fullRef>
                </c:ext>
              </c:extLst>
              <c:f>'PC2.01_Ind01'!$G$29:$J$29</c:f>
              <c:numCache>
                <c:formatCode>0%</c:formatCode>
                <c:ptCount val="4"/>
                <c:pt idx="0">
                  <c:v>1</c:v>
                </c:pt>
                <c:pt idx="1">
                  <c:v>1</c:v>
                </c:pt>
                <c:pt idx="2">
                  <c:v>1</c:v>
                </c:pt>
                <c:pt idx="3">
                  <c:v>1</c:v>
                </c:pt>
              </c:numCache>
            </c:numRef>
          </c:val>
          <c:extLst>
            <c:ext xmlns:c16="http://schemas.microsoft.com/office/drawing/2014/chart" uri="{C3380CC4-5D6E-409C-BE32-E72D297353CC}">
              <c16:uniqueId val="{0000000D-15BA-4C04-9974-6D36A688EFBD}"/>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0"/>
          <c:tx>
            <c:strRef>
              <c:f>'PC2.01_Ind01'!$B$32</c:f>
              <c:strCache>
                <c:ptCount val="1"/>
                <c:pt idx="0">
                  <c:v>Valor objectiu</c:v>
                </c:pt>
              </c:strCache>
              <c:extLst xmlns:c15="http://schemas.microsoft.com/office/drawing/2012/chart"/>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'PC2.01_Ind01'!$D$32:$J$32</c15:sqref>
                  </c15:fullRef>
                </c:ext>
              </c:extLst>
              <c:f>'PC2.01_Ind01'!$G$32:$J$32</c:f>
              <c:numCache>
                <c:formatCode>0%</c:formatCode>
                <c:ptCount val="4"/>
                <c:pt idx="0">
                  <c:v>1</c:v>
                </c:pt>
                <c:pt idx="1">
                  <c:v>1</c:v>
                </c:pt>
                <c:pt idx="2">
                  <c:v>1</c:v>
                </c:pt>
                <c:pt idx="3">
                  <c:v>1</c:v>
                </c:pt>
              </c:numCache>
            </c:numRef>
          </c:val>
          <c:smooth val="0"/>
          <c:extLst xmlns:c15="http://schemas.microsoft.com/office/drawing/2012/chart">
            <c:ext xmlns:c16="http://schemas.microsoft.com/office/drawing/2014/chart" uri="{C3380CC4-5D6E-409C-BE32-E72D297353CC}">
              <c16:uniqueId val="{00000001-D331-4045-A531-E487CCA26397}"/>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majorGridlines/>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ca-ES"/>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ca-ES"/>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b"/>
      <c:layout>
        <c:manualLayout>
          <c:xMode val="edge"/>
          <c:yMode val="edge"/>
          <c:x val="6.2103656699607608E-2"/>
          <c:y val="0.80885518359722497"/>
          <c:w val="0.9151930403790135"/>
          <c:h val="0.17829952856203538"/>
        </c:manualLayout>
      </c:layout>
      <c:overlay val="0"/>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rgbClr val="FFFFFF">
                    <a:lumMod val="95000"/>
                  </a:srgbClr>
                </a:solidFill>
                <a:effectLst>
                  <a:outerShdw blurRad="50800" dist="38100" dir="5400000" algn="t" rotWithShape="0">
                    <a:prstClr val="black">
                      <a:alpha val="40000"/>
                    </a:prstClr>
                  </a:outerShdw>
                </a:effectLst>
                <a:latin typeface="+mn-lt"/>
                <a:ea typeface="+mn-ea"/>
                <a:cs typeface="+mn-cs"/>
              </a:defRPr>
            </a:pPr>
            <a:r>
              <a:rPr lang="ca-ES" sz="1400">
                <a:latin typeface="Calibri" panose="020F0502020204030204" pitchFamily="34" charset="0"/>
                <a:ea typeface="Calibri" panose="020F0502020204030204" pitchFamily="34" charset="0"/>
                <a:cs typeface="Calibri" panose="020F0502020204030204" pitchFamily="34" charset="0"/>
              </a:rPr>
              <a:t>PC2.01_Ind01. Percentatge de guies docents publicades respecte a les assignatures programades (genèrica centre)</a:t>
            </a:r>
          </a:p>
          <a:p>
            <a:pPr marL="0" marR="0" lvl="0" indent="0" algn="ctr" defTabSz="914400" rtl="0" eaLnBrk="1" fontAlgn="auto" latinLnBrk="0" hangingPunct="1">
              <a:lnSpc>
                <a:spcPct val="100000"/>
              </a:lnSpc>
              <a:spcBef>
                <a:spcPts val="0"/>
              </a:spcBef>
              <a:spcAft>
                <a:spcPts val="0"/>
              </a:spcAft>
              <a:buClrTx/>
              <a:buSzTx/>
              <a:buFontTx/>
              <a:buNone/>
              <a:tabLst/>
              <a:defRPr>
                <a:solidFill>
                  <a:srgbClr val="FFFFFF">
                    <a:lumMod val="95000"/>
                  </a:srgbClr>
                </a:solidFill>
              </a:defRPr>
            </a:pPr>
            <a:endParaRPr lang="es-E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rgbClr val="FFFFFF">
                  <a:lumMod val="95000"/>
                </a:srgb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7.4437795275590551E-2"/>
          <c:y val="0.19492598624961169"/>
          <c:w val="0.89513867016622917"/>
          <c:h val="0.61884477981918928"/>
        </c:manualLayout>
      </c:layout>
      <c:barChart>
        <c:barDir val="col"/>
        <c:grouping val="stacked"/>
        <c:varyColors val="0"/>
        <c:ser>
          <c:idx val="0"/>
          <c:order val="0"/>
          <c:tx>
            <c:strRef>
              <c:f>'PC2.01_Ind01'!$B$33</c:f>
              <c:strCache>
                <c:ptCount val="1"/>
                <c:pt idx="0">
                  <c:v>% Compliment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'PC2.01_Ind01'!$D$14:$J$14</c:f>
              <c:strCache>
                <c:ptCount val="7"/>
                <c:pt idx="0">
                  <c:v>2017/2018</c:v>
                </c:pt>
                <c:pt idx="1">
                  <c:v>2018/2019</c:v>
                </c:pt>
                <c:pt idx="2">
                  <c:v>2019/2020</c:v>
                </c:pt>
                <c:pt idx="3">
                  <c:v>2020/2021</c:v>
                </c:pt>
                <c:pt idx="4">
                  <c:v>2021/2022</c:v>
                </c:pt>
                <c:pt idx="5">
                  <c:v>2022/2023</c:v>
                </c:pt>
                <c:pt idx="6">
                  <c:v>2023/2024</c:v>
                </c:pt>
              </c:strCache>
            </c:strRef>
          </c:cat>
          <c:val>
            <c:numRef>
              <c:f>'PC2.01_Ind01'!$D$33:$J$33</c:f>
              <c:numCache>
                <c:formatCode>0%</c:formatCode>
                <c:ptCount val="7"/>
                <c:pt idx="0" formatCode="0.00%">
                  <c:v>0.8571428571428571</c:v>
                </c:pt>
                <c:pt idx="1">
                  <c:v>0.6</c:v>
                </c:pt>
                <c:pt idx="2" formatCode="0.00%">
                  <c:v>0.73333333333333328</c:v>
                </c:pt>
                <c:pt idx="3">
                  <c:v>0.6</c:v>
                </c:pt>
                <c:pt idx="4" formatCode="0.00%">
                  <c:v>0.8571428571428571</c:v>
                </c:pt>
                <c:pt idx="5">
                  <c:v>0.6</c:v>
                </c:pt>
                <c:pt idx="6">
                  <c:v>0.8</c:v>
                </c:pt>
              </c:numCache>
            </c:numRef>
          </c:val>
          <c:extLst>
            <c:ext xmlns:c16="http://schemas.microsoft.com/office/drawing/2014/chart" uri="{C3380CC4-5D6E-409C-BE32-E72D297353CC}">
              <c16:uniqueId val="{00000000-ED90-4814-990D-E05EAAE1834E}"/>
            </c:ext>
          </c:extLst>
        </c:ser>
        <c:dLbls>
          <c:showLegendKey val="0"/>
          <c:showVal val="0"/>
          <c:showCatName val="0"/>
          <c:showSerName val="0"/>
          <c:showPercent val="0"/>
          <c:showBubbleSize val="0"/>
        </c:dLbls>
        <c:gapWidth val="100"/>
        <c:overlap val="100"/>
        <c:axId val="2023312864"/>
        <c:axId val="2023311904"/>
      </c:barChart>
      <c:lineChart>
        <c:grouping val="standard"/>
        <c:varyColors val="0"/>
        <c:ser>
          <c:idx val="1"/>
          <c:order val="1"/>
          <c:tx>
            <c:strRef>
              <c:f>'PC2.01_Ind01'!$B$32</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cat>
            <c:strRef>
              <c:f>'PC2.01_Ind01'!$D$14:$J$14</c:f>
              <c:strCache>
                <c:ptCount val="7"/>
                <c:pt idx="0">
                  <c:v>2017/2018</c:v>
                </c:pt>
                <c:pt idx="1">
                  <c:v>2018/2019</c:v>
                </c:pt>
                <c:pt idx="2">
                  <c:v>2019/2020</c:v>
                </c:pt>
                <c:pt idx="3">
                  <c:v>2020/2021</c:v>
                </c:pt>
                <c:pt idx="4">
                  <c:v>2021/2022</c:v>
                </c:pt>
                <c:pt idx="5">
                  <c:v>2022/2023</c:v>
                </c:pt>
                <c:pt idx="6">
                  <c:v>2023/2024</c:v>
                </c:pt>
              </c:strCache>
            </c:strRef>
          </c:cat>
          <c:val>
            <c:numRef>
              <c:f>'PC2.01_Ind01'!$D$32:$J$32</c:f>
              <c:numCache>
                <c:formatCode>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1-ED90-4814-990D-E05EAAE1834E}"/>
            </c:ext>
          </c:extLst>
        </c:ser>
        <c:dLbls>
          <c:showLegendKey val="0"/>
          <c:showVal val="0"/>
          <c:showCatName val="0"/>
          <c:showSerName val="0"/>
          <c:showPercent val="0"/>
          <c:showBubbleSize val="0"/>
        </c:dLbls>
        <c:marker val="1"/>
        <c:smooth val="0"/>
        <c:axId val="2023312864"/>
        <c:axId val="2023311904"/>
      </c:lineChart>
      <c:catAx>
        <c:axId val="2023312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23311904"/>
        <c:crosses val="autoZero"/>
        <c:auto val="1"/>
        <c:lblAlgn val="ctr"/>
        <c:lblOffset val="100"/>
        <c:noMultiLvlLbl val="0"/>
      </c:catAx>
      <c:valAx>
        <c:axId val="202331190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23312864"/>
        <c:crosses val="autoZero"/>
        <c:crossBetween val="between"/>
      </c:valAx>
      <c:spPr>
        <a:noFill/>
        <a:ln>
          <a:noFill/>
        </a:ln>
        <a:effectLst/>
      </c:spPr>
    </c:plotArea>
    <c:legend>
      <c:legendPos val="b"/>
      <c:layout>
        <c:manualLayout>
          <c:xMode val="edge"/>
          <c:yMode val="edge"/>
          <c:x val="0.4005862370497621"/>
          <c:y val="0.92312102199782653"/>
          <c:w val="0.27122619146290922"/>
          <c:h val="4.78485638391480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PC2.01_Ind02. Percentatge d’hores de docència impartides per PDI amb títol de doctor</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'PC2.01_Ind02'!$B$15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'PC2.01_Ind02'!$D$15:$J$15</c:f>
              <c:numCache>
                <c:formatCode>0.00%</c:formatCode>
                <c:ptCount val="7"/>
                <c:pt idx="0">
                  <c:v>0.86799999999999999</c:v>
                </c:pt>
                <c:pt idx="1">
                  <c:v>0.79</c:v>
                </c:pt>
                <c:pt idx="2">
                  <c:v>0.78</c:v>
                </c:pt>
                <c:pt idx="3">
                  <c:v>0.76</c:v>
                </c:pt>
                <c:pt idx="4">
                  <c:v>0.751</c:v>
                </c:pt>
                <c:pt idx="5">
                  <c:v>0.74</c:v>
                </c:pt>
                <c:pt idx="6">
                  <c:v>0.69099999999999995</c:v>
                </c:pt>
              </c:numCache>
            </c:numRef>
          </c:val>
          <c:extLst>
            <c:ext xmlns:c16="http://schemas.microsoft.com/office/drawing/2014/chart" uri="{C3380CC4-5D6E-409C-BE32-E72D297353CC}">
              <c16:uniqueId val="{00000000-F345-4687-B712-0132EBD4819C}"/>
            </c:ext>
          </c:extLst>
        </c:ser>
        <c:ser>
          <c:idx val="1"/>
          <c:order val="1"/>
          <c:tx>
            <c:strRef>
              <c:f>'PC2.01_Ind02'!$B$16</c:f>
              <c:strCache>
                <c:ptCount val="1"/>
                <c:pt idx="0">
                  <c:v>CCAA+Geologia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'PC2.01_Ind02'!$D$16:$J$16</c:f>
              <c:numCache>
                <c:formatCode>0.00%</c:formatCode>
                <c:ptCount val="7"/>
                <c:pt idx="0">
                  <c:v>0.86</c:v>
                </c:pt>
                <c:pt idx="1">
                  <c:v>0.82</c:v>
                </c:pt>
                <c:pt idx="2">
                  <c:v>0.79</c:v>
                </c:pt>
                <c:pt idx="3">
                  <c:v>0.75</c:v>
                </c:pt>
                <c:pt idx="4">
                  <c:v>0.75890000000000002</c:v>
                </c:pt>
                <c:pt idx="5">
                  <c:v>0.80730000000000002</c:v>
                </c:pt>
                <c:pt idx="6">
                  <c:v>0.79210000000000003</c:v>
                </c:pt>
              </c:numCache>
            </c:numRef>
          </c:val>
          <c:extLst>
            <c:ext xmlns:c16="http://schemas.microsoft.com/office/drawing/2014/chart" uri="{C3380CC4-5D6E-409C-BE32-E72D297353CC}">
              <c16:uniqueId val="{00000001-F345-4687-B712-0132EBD4819C}"/>
            </c:ext>
          </c:extLst>
        </c:ser>
        <c:ser>
          <c:idx val="2"/>
          <c:order val="2"/>
          <c:tx>
            <c:strRef>
              <c:f>'PC2.01_Ind02'!$B$17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'PC2.01_Ind02'!$D$17:$J$17</c:f>
              <c:numCache>
                <c:formatCode>0.00%</c:formatCode>
                <c:ptCount val="7"/>
                <c:pt idx="0">
                  <c:v>0.68</c:v>
                </c:pt>
                <c:pt idx="1">
                  <c:v>0.71</c:v>
                </c:pt>
                <c:pt idx="2">
                  <c:v>0.7</c:v>
                </c:pt>
                <c:pt idx="3">
                  <c:v>0.7</c:v>
                </c:pt>
                <c:pt idx="4">
                  <c:v>0.72189999999999999</c:v>
                </c:pt>
                <c:pt idx="5">
                  <c:v>0.68</c:v>
                </c:pt>
                <c:pt idx="6">
                  <c:v>0.69040000000000001</c:v>
                </c:pt>
              </c:numCache>
            </c:numRef>
          </c:val>
          <c:extLst>
            <c:ext xmlns:c16="http://schemas.microsoft.com/office/drawing/2014/chart" uri="{C3380CC4-5D6E-409C-BE32-E72D297353CC}">
              <c16:uniqueId val="{00000002-F345-4687-B712-0132EBD4819C}"/>
            </c:ext>
          </c:extLst>
        </c:ser>
        <c:ser>
          <c:idx val="3"/>
          <c:order val="3"/>
          <c:tx>
            <c:strRef>
              <c:f>'PC2.01_Ind02'!$B$18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'PC2.01_Ind02'!$D$18:$J$18</c:f>
              <c:numCache>
                <c:formatCode>0.00%</c:formatCode>
                <c:ptCount val="7"/>
                <c:pt idx="0">
                  <c:v>0.9</c:v>
                </c:pt>
                <c:pt idx="1">
                  <c:v>0.90400000000000003</c:v>
                </c:pt>
                <c:pt idx="2">
                  <c:v>0.90300000000000002</c:v>
                </c:pt>
                <c:pt idx="3">
                  <c:v>0.87</c:v>
                </c:pt>
                <c:pt idx="4">
                  <c:v>0.89190000000000003</c:v>
                </c:pt>
                <c:pt idx="5">
                  <c:v>0.91</c:v>
                </c:pt>
                <c:pt idx="6">
                  <c:v>0.87329999999999997</c:v>
                </c:pt>
              </c:numCache>
            </c:numRef>
          </c:val>
          <c:extLst>
            <c:ext xmlns:c16="http://schemas.microsoft.com/office/drawing/2014/chart" uri="{C3380CC4-5D6E-409C-BE32-E72D297353CC}">
              <c16:uniqueId val="{00000003-F345-4687-B712-0132EBD4819C}"/>
            </c:ext>
          </c:extLst>
        </c:ser>
        <c:ser>
          <c:idx val="4"/>
          <c:order val="4"/>
          <c:tx>
            <c:strRef>
              <c:f>'PC2.01_Ind02'!$B$19</c:f>
              <c:strCache>
                <c:ptCount val="1"/>
                <c:pt idx="0">
                  <c:v>Física+Matemàtiques</c:v>
                </c:pt>
              </c:strCache>
            </c:strRef>
          </c:tx>
          <c:spPr>
            <a:solidFill>
              <a:srgbClr val="F1960F"/>
            </a:soli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'PC2.01_Ind02'!$D$19:$J$19</c:f>
              <c:numCache>
                <c:formatCode>0.00%</c:formatCode>
                <c:ptCount val="7"/>
                <c:pt idx="0">
                  <c:v>0.96</c:v>
                </c:pt>
                <c:pt idx="1">
                  <c:v>0.94</c:v>
                </c:pt>
                <c:pt idx="2">
                  <c:v>0.94</c:v>
                </c:pt>
                <c:pt idx="3">
                  <c:v>0.93</c:v>
                </c:pt>
                <c:pt idx="4">
                  <c:v>0.93269999999999997</c:v>
                </c:pt>
                <c:pt idx="5">
                  <c:v>0.9214</c:v>
                </c:pt>
                <c:pt idx="6">
                  <c:v>0.89559999999999995</c:v>
                </c:pt>
              </c:numCache>
            </c:numRef>
          </c:val>
          <c:extLst>
            <c:ext xmlns:c16="http://schemas.microsoft.com/office/drawing/2014/chart" uri="{C3380CC4-5D6E-409C-BE32-E72D297353CC}">
              <c16:uniqueId val="{00000004-F345-4687-B712-0132EBD4819C}"/>
            </c:ext>
          </c:extLst>
        </c:ser>
        <c:ser>
          <c:idx val="5"/>
          <c:order val="5"/>
          <c:tx>
            <c:strRef>
              <c:f>'PC2.01_Ind02'!$B$20</c:f>
              <c:strCache>
                <c:ptCount val="1"/>
                <c:pt idx="0">
                  <c:v>Física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'PC2.01_Ind02'!$D$20:$J$20</c:f>
              <c:numCache>
                <c:formatCode>0.00%</c:formatCode>
                <c:ptCount val="7"/>
                <c:pt idx="0">
                  <c:v>0.85</c:v>
                </c:pt>
                <c:pt idx="1">
                  <c:v>0.87</c:v>
                </c:pt>
                <c:pt idx="2">
                  <c:v>0.9</c:v>
                </c:pt>
                <c:pt idx="3">
                  <c:v>0.96</c:v>
                </c:pt>
                <c:pt idx="4">
                  <c:v>0.80759999999999998</c:v>
                </c:pt>
                <c:pt idx="5">
                  <c:v>0.83430000000000004</c:v>
                </c:pt>
                <c:pt idx="6">
                  <c:v>0.80620000000000003</c:v>
                </c:pt>
              </c:numCache>
            </c:numRef>
          </c:val>
          <c:extLst>
            <c:ext xmlns:c16="http://schemas.microsoft.com/office/drawing/2014/chart" uri="{C3380CC4-5D6E-409C-BE32-E72D297353CC}">
              <c16:uniqueId val="{00000005-F345-4687-B712-0132EBD4819C}"/>
            </c:ext>
          </c:extLst>
        </c:ser>
        <c:ser>
          <c:idx val="6"/>
          <c:order val="6"/>
          <c:tx>
            <c:strRef>
              <c:f>'PC2.01_Ind02'!$B$21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'PC2.01_Ind02'!$D$21:$J$21</c:f>
              <c:numCache>
                <c:formatCode>0.00%</c:formatCode>
                <c:ptCount val="7"/>
                <c:pt idx="0">
                  <c:v>0.85</c:v>
                </c:pt>
                <c:pt idx="1">
                  <c:v>0.86</c:v>
                </c:pt>
                <c:pt idx="2">
                  <c:v>0.82</c:v>
                </c:pt>
                <c:pt idx="3">
                  <c:v>0.81</c:v>
                </c:pt>
                <c:pt idx="4">
                  <c:v>0.78359999999999996</c:v>
                </c:pt>
                <c:pt idx="5">
                  <c:v>0.87</c:v>
                </c:pt>
                <c:pt idx="6">
                  <c:v>0.87860000000000005</c:v>
                </c:pt>
              </c:numCache>
            </c:numRef>
          </c:val>
          <c:extLst>
            <c:ext xmlns:c16="http://schemas.microsoft.com/office/drawing/2014/chart" uri="{C3380CC4-5D6E-409C-BE32-E72D297353CC}">
              <c16:uniqueId val="{00000006-F345-4687-B712-0132EBD4819C}"/>
            </c:ext>
          </c:extLst>
        </c:ser>
        <c:ser>
          <c:idx val="7"/>
          <c:order val="7"/>
          <c:tx>
            <c:strRef>
              <c:f>'PC2.01_Ind02'!$B$22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'PC2.01_Ind02'!$D$22:$J$22</c:f>
              <c:numCache>
                <c:formatCode>0.00%</c:formatCode>
                <c:ptCount val="7"/>
                <c:pt idx="0">
                  <c:v>0</c:v>
                </c:pt>
                <c:pt idx="1">
                  <c:v>1</c:v>
                </c:pt>
                <c:pt idx="2">
                  <c:v>0.94</c:v>
                </c:pt>
                <c:pt idx="3">
                  <c:v>0.88</c:v>
                </c:pt>
                <c:pt idx="4">
                  <c:v>0.84130000000000005</c:v>
                </c:pt>
                <c:pt idx="5">
                  <c:v>0.86</c:v>
                </c:pt>
                <c:pt idx="6">
                  <c:v>0.86729999999999996</c:v>
                </c:pt>
              </c:numCache>
            </c:numRef>
          </c:val>
          <c:extLst>
            <c:ext xmlns:c16="http://schemas.microsoft.com/office/drawing/2014/chart" uri="{C3380CC4-5D6E-409C-BE32-E72D297353CC}">
              <c16:uniqueId val="{00000007-F345-4687-B712-0132EBD4819C}"/>
            </c:ext>
          </c:extLst>
        </c:ser>
        <c:ser>
          <c:idx val="8"/>
          <c:order val="8"/>
          <c:tx>
            <c:strRef>
              <c:f>'PC2.01_Ind02'!$B$23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'PC2.01_Ind02'!$D$23:$J$23</c:f>
              <c:numCache>
                <c:formatCode>0.00%</c:formatCode>
                <c:ptCount val="7"/>
                <c:pt idx="0">
                  <c:v>0.88</c:v>
                </c:pt>
                <c:pt idx="1">
                  <c:v>0.94</c:v>
                </c:pt>
                <c:pt idx="2">
                  <c:v>0.94</c:v>
                </c:pt>
                <c:pt idx="3">
                  <c:v>0.95</c:v>
                </c:pt>
                <c:pt idx="4">
                  <c:v>0.93440000000000001</c:v>
                </c:pt>
                <c:pt idx="5">
                  <c:v>0.93</c:v>
                </c:pt>
                <c:pt idx="6">
                  <c:v>0.89290000000000003</c:v>
                </c:pt>
              </c:numCache>
            </c:numRef>
          </c:val>
          <c:extLst>
            <c:ext xmlns:c16="http://schemas.microsoft.com/office/drawing/2014/chart" uri="{C3380CC4-5D6E-409C-BE32-E72D297353CC}">
              <c16:uniqueId val="{00000008-F345-4687-B712-0132EBD4819C}"/>
            </c:ext>
          </c:extLst>
        </c:ser>
        <c:ser>
          <c:idx val="9"/>
          <c:order val="9"/>
          <c:tx>
            <c:strRef>
              <c:f>'PC2.01_Ind02'!$B$24</c:f>
              <c:strCache>
                <c:ptCount val="1"/>
                <c:pt idx="0">
                  <c:v>Nanociència i Nanotecnologia   </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'PC2.01_Ind02'!$D$24:$J$24</c:f>
              <c:numCache>
                <c:formatCode>0.00%</c:formatCode>
                <c:ptCount val="7"/>
                <c:pt idx="0">
                  <c:v>0.83</c:v>
                </c:pt>
                <c:pt idx="1">
                  <c:v>0.81</c:v>
                </c:pt>
                <c:pt idx="2">
                  <c:v>0.86</c:v>
                </c:pt>
                <c:pt idx="3">
                  <c:v>0.84</c:v>
                </c:pt>
                <c:pt idx="4">
                  <c:v>0.85</c:v>
                </c:pt>
                <c:pt idx="5">
                  <c:v>0.83</c:v>
                </c:pt>
                <c:pt idx="6">
                  <c:v>0.81889999999999996</c:v>
                </c:pt>
              </c:numCache>
            </c:numRef>
          </c:val>
          <c:extLst>
            <c:ext xmlns:c16="http://schemas.microsoft.com/office/drawing/2014/chart" uri="{C3380CC4-5D6E-409C-BE32-E72D297353CC}">
              <c16:uniqueId val="{00000009-F345-4687-B712-0132EBD4819C}"/>
            </c:ext>
          </c:extLst>
        </c:ser>
        <c:ser>
          <c:idx val="10"/>
          <c:order val="10"/>
          <c:tx>
            <c:strRef>
              <c:f>'PC2.01_Ind02'!$B$25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'PC2.01_Ind02'!$D$25:$J$25</c:f>
              <c:numCache>
                <c:formatCode>0.00%</c:formatCode>
                <c:ptCount val="7"/>
                <c:pt idx="0">
                  <c:v>0.83</c:v>
                </c:pt>
                <c:pt idx="1">
                  <c:v>0.83</c:v>
                </c:pt>
                <c:pt idx="2">
                  <c:v>0.86</c:v>
                </c:pt>
                <c:pt idx="3">
                  <c:v>0.81</c:v>
                </c:pt>
                <c:pt idx="4">
                  <c:v>0.78129999999999999</c:v>
                </c:pt>
                <c:pt idx="5">
                  <c:v>0.79</c:v>
                </c:pt>
                <c:pt idx="6">
                  <c:v>0.77739999999999998</c:v>
                </c:pt>
              </c:numCache>
            </c:numRef>
          </c:val>
          <c:extLst>
            <c:ext xmlns:c16="http://schemas.microsoft.com/office/drawing/2014/chart" uri="{C3380CC4-5D6E-409C-BE32-E72D297353CC}">
              <c16:uniqueId val="{0000000A-F345-4687-B712-0132EBD4819C}"/>
            </c:ext>
          </c:extLst>
        </c:ser>
        <c:ser>
          <c:idx val="11"/>
          <c:order val="11"/>
          <c:tx>
            <c:strRef>
              <c:f>'PC2.01_Ind02'!$B$26</c:f>
              <c:strCache>
                <c:ptCount val="1"/>
                <c:pt idx="0">
                  <c:v>Estudis inter.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'PC2.01_Ind02'!$D$26:$J$26</c:f>
              <c:numCache>
                <c:formatCode>0.00%</c:formatCode>
                <c:ptCount val="7"/>
                <c:pt idx="0">
                  <c:v>0.91500000000000004</c:v>
                </c:pt>
                <c:pt idx="1">
                  <c:v>0.88</c:v>
                </c:pt>
                <c:pt idx="2">
                  <c:v>0.9</c:v>
                </c:pt>
                <c:pt idx="3">
                  <c:v>0.89800000000000002</c:v>
                </c:pt>
                <c:pt idx="4">
                  <c:v>0.93</c:v>
                </c:pt>
                <c:pt idx="5">
                  <c:v>0.88</c:v>
                </c:pt>
                <c:pt idx="6">
                  <c:v>0.92910000000000004</c:v>
                </c:pt>
              </c:numCache>
            </c:numRef>
          </c:val>
          <c:extLst>
            <c:ext xmlns:c16="http://schemas.microsoft.com/office/drawing/2014/chart" uri="{C3380CC4-5D6E-409C-BE32-E72D297353CC}">
              <c16:uniqueId val="{0000000B-F345-4687-B712-0132EBD4819C}"/>
            </c:ext>
          </c:extLst>
        </c:ser>
        <c:ser>
          <c:idx val="12"/>
          <c:order val="12"/>
          <c:tx>
            <c:strRef>
              <c:f>'PC2.01_Ind02'!$B$27</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'PC2.01_Ind02'!$D$27:$J$27</c:f>
              <c:numCache>
                <c:formatCode>0.00%</c:formatCode>
                <c:ptCount val="7"/>
                <c:pt idx="0">
                  <c:v>0.995</c:v>
                </c:pt>
                <c:pt idx="1">
                  <c:v>0.86199999999999999</c:v>
                </c:pt>
                <c:pt idx="2">
                  <c:v>0.88400000000000001</c:v>
                </c:pt>
                <c:pt idx="3">
                  <c:v>0.89500000000000002</c:v>
                </c:pt>
                <c:pt idx="4">
                  <c:v>0.99950000000000006</c:v>
                </c:pt>
                <c:pt idx="5">
                  <c:v>0.77</c:v>
                </c:pt>
                <c:pt idx="6">
                  <c:v>0.77880000000000005</c:v>
                </c:pt>
              </c:numCache>
            </c:numRef>
          </c:val>
          <c:extLst>
            <c:ext xmlns:c16="http://schemas.microsoft.com/office/drawing/2014/chart" uri="{C3380CC4-5D6E-409C-BE32-E72D297353CC}">
              <c16:uniqueId val="{0000000C-F345-4687-B712-0132EBD4819C}"/>
            </c:ext>
          </c:extLst>
        </c:ser>
        <c:ser>
          <c:idx val="13"/>
          <c:order val="13"/>
          <c:tx>
            <c:strRef>
              <c:f>'PC2.01_Ind02'!$B$28</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'PC2.01_Ind02'!$D$28:$J$28</c:f>
              <c:numCache>
                <c:formatCode>0.00%</c:formatCode>
                <c:ptCount val="7"/>
                <c:pt idx="0">
                  <c:v>1</c:v>
                </c:pt>
                <c:pt idx="1">
                  <c:v>1</c:v>
                </c:pt>
                <c:pt idx="2">
                  <c:v>1</c:v>
                </c:pt>
                <c:pt idx="3">
                  <c:v>0.98599999999999999</c:v>
                </c:pt>
                <c:pt idx="4">
                  <c:v>0</c:v>
                </c:pt>
                <c:pt idx="5">
                  <c:v>1</c:v>
                </c:pt>
                <c:pt idx="6">
                  <c:v>1</c:v>
                </c:pt>
              </c:numCache>
            </c:numRef>
          </c:val>
          <c:extLst>
            <c:ext xmlns:c16="http://schemas.microsoft.com/office/drawing/2014/chart" uri="{C3380CC4-5D6E-409C-BE32-E72D297353CC}">
              <c16:uniqueId val="{0000000D-F345-4687-B712-0132EBD4819C}"/>
            </c:ext>
          </c:extLst>
        </c:ser>
        <c:ser>
          <c:idx val="14"/>
          <c:order val="14"/>
          <c:tx>
            <c:strRef>
              <c:f>'PC2.01_Ind02'!$B$29</c:f>
              <c:strCache>
                <c:ptCount val="1"/>
                <c:pt idx="0">
                  <c:v>Modelització per a la ciència i l'enginyeria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'PC2.01_Ind02'!$D$29:$J$29</c:f>
              <c:numCache>
                <c:formatCode>0.00%</c:formatCode>
                <c:ptCount val="7"/>
                <c:pt idx="0">
                  <c:v>0.96599999999999997</c:v>
                </c:pt>
                <c:pt idx="1">
                  <c:v>1</c:v>
                </c:pt>
                <c:pt idx="2">
                  <c:v>0.95599999999999996</c:v>
                </c:pt>
                <c:pt idx="3">
                  <c:v>0.97699999999999998</c:v>
                </c:pt>
                <c:pt idx="4">
                  <c:v>0.97499999999999998</c:v>
                </c:pt>
                <c:pt idx="5">
                  <c:v>0.96</c:v>
                </c:pt>
                <c:pt idx="6">
                  <c:v>0.8972</c:v>
                </c:pt>
              </c:numCache>
            </c:numRef>
          </c:val>
          <c:extLst>
            <c:ext xmlns:c16="http://schemas.microsoft.com/office/drawing/2014/chart" uri="{C3380CC4-5D6E-409C-BE32-E72D297353CC}">
              <c16:uniqueId val="{0000000E-F345-4687-B712-0132EBD4819C}"/>
            </c:ext>
          </c:extLst>
        </c:ser>
        <c:ser>
          <c:idx val="15"/>
          <c:order val="15"/>
          <c:tx>
            <c:strRef>
              <c:f>'PC2.01_Ind02'!$B$30</c:f>
              <c:strCache>
                <c:ptCount val="1"/>
                <c:pt idx="0">
                  <c:v>Nanociència i Nanotecnologia avançades </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'PC2.01_Ind02'!$D$30:$J$30</c:f>
              <c:numCache>
                <c:formatCode>0.00%</c:formatCode>
                <c:ptCount val="7"/>
                <c:pt idx="0">
                  <c:v>0.96299999999999997</c:v>
                </c:pt>
                <c:pt idx="1">
                  <c:v>0.93100000000000005</c:v>
                </c:pt>
                <c:pt idx="2">
                  <c:v>0.97</c:v>
                </c:pt>
                <c:pt idx="3">
                  <c:v>0.91</c:v>
                </c:pt>
                <c:pt idx="4">
                  <c:v>0.91679999999999995</c:v>
                </c:pt>
                <c:pt idx="5">
                  <c:v>0.92</c:v>
                </c:pt>
                <c:pt idx="6">
                  <c:v>0.97709999999999997</c:v>
                </c:pt>
              </c:numCache>
            </c:numRef>
          </c:val>
          <c:extLst>
            <c:ext xmlns:c16="http://schemas.microsoft.com/office/drawing/2014/chart" uri="{C3380CC4-5D6E-409C-BE32-E72D297353CC}">
              <c16:uniqueId val="{0000000F-F345-4687-B712-0132EBD4819C}"/>
            </c:ext>
          </c:extLst>
        </c:ser>
        <c:ser>
          <c:idx val="16"/>
          <c:order val="16"/>
          <c:tx>
            <c:strRef>
              <c:f>'PC2.01_Ind02'!$B$31</c:f>
              <c:strCache>
                <c:ptCount val="1"/>
                <c:pt idx="0">
                  <c:v>Paleobiologia i Registre Fòssil </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'PC2.01_Ind02'!$D$31:$J$31</c:f>
              <c:numCache>
                <c:formatCode>0.00%</c:formatCode>
                <c:ptCount val="7"/>
                <c:pt idx="0">
                  <c:v>0.94199999999999995</c:v>
                </c:pt>
                <c:pt idx="1">
                  <c:v>0.94399999999999995</c:v>
                </c:pt>
                <c:pt idx="2">
                  <c:v>0.92400000000000004</c:v>
                </c:pt>
                <c:pt idx="3">
                  <c:v>0.95499999999999996</c:v>
                </c:pt>
                <c:pt idx="4">
                  <c:v>1</c:v>
                </c:pt>
                <c:pt idx="5">
                  <c:v>0.9</c:v>
                </c:pt>
                <c:pt idx="6">
                  <c:v>0.87939999999999996</c:v>
                </c:pt>
              </c:numCache>
            </c:numRef>
          </c:val>
          <c:extLst>
            <c:ext xmlns:c16="http://schemas.microsoft.com/office/drawing/2014/chart" uri="{C3380CC4-5D6E-409C-BE32-E72D297353CC}">
              <c16:uniqueId val="{00000010-F345-4687-B712-0132EBD4819C}"/>
            </c:ext>
          </c:extLst>
        </c:ser>
        <c:ser>
          <c:idx val="17"/>
          <c:order val="17"/>
          <c:tx>
            <c:strRef>
              <c:f>'PC2.01_Ind02'!$B$32</c:f>
              <c:strCache>
                <c:ptCount val="1"/>
                <c:pt idx="0">
                  <c:v>Química industrial i introducció a la recerca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'PC2.01_Ind02'!$D$32:$J$32</c:f>
              <c:numCache>
                <c:formatCode>0.00%</c:formatCode>
                <c:ptCount val="7"/>
                <c:pt idx="0">
                  <c:v>1</c:v>
                </c:pt>
                <c:pt idx="1">
                  <c:v>1</c:v>
                </c:pt>
                <c:pt idx="2">
                  <c:v>0.996</c:v>
                </c:pt>
                <c:pt idx="3">
                  <c:v>1</c:v>
                </c:pt>
                <c:pt idx="4">
                  <c:v>1</c:v>
                </c:pt>
                <c:pt idx="5">
                  <c:v>1</c:v>
                </c:pt>
                <c:pt idx="6">
                  <c:v>0.99139999999999995</c:v>
                </c:pt>
              </c:numCache>
            </c:numRef>
          </c:val>
          <c:extLst>
            <c:ext xmlns:c16="http://schemas.microsoft.com/office/drawing/2014/chart" uri="{C3380CC4-5D6E-409C-BE32-E72D297353CC}">
              <c16:uniqueId val="{00000011-F345-4687-B712-0132EBD4819C}"/>
            </c:ext>
          </c:extLst>
        </c:ser>
        <c:dLbls>
          <c:showLegendKey val="0"/>
          <c:showVal val="0"/>
          <c:showCatName val="0"/>
          <c:showSerName val="0"/>
          <c:showPercent val="0"/>
          <c:showBubbleSize val="0"/>
        </c:dLbls>
        <c:gapWidth val="219"/>
        <c:axId val="579863264"/>
        <c:axId val="866636144"/>
      </c:barChart>
      <c:lineChart>
        <c:grouping val="standard"/>
        <c:varyColors val="0"/>
        <c:ser>
          <c:idx val="18"/>
          <c:order val="18"/>
          <c:tx>
            <c:strRef>
              <c:f>'PC2.01_Ind02'!$B$35</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1960F">
                  <a:alpha val="98000"/>
                </a:srgbClr>
              </a:solidFill>
              <a:ln w="9525">
                <a:solidFill>
                  <a:srgbClr val="F1960F"/>
                </a:solidFill>
                <a:round/>
              </a:ln>
              <a:effectLst>
                <a:outerShdw blurRad="57150" dist="19050" dir="5400000" algn="ctr" rotWithShape="0">
                  <a:srgbClr val="000000">
                    <a:alpha val="63000"/>
                  </a:srgbClr>
                </a:outerShdw>
              </a:effectLst>
            </c:spPr>
          </c:marker>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'PC2.01_Ind02'!$D$35:$J$35</c:f>
              <c:numCache>
                <c:formatCode>0.00%</c:formatCode>
                <c:ptCount val="7"/>
                <c:pt idx="0">
                  <c:v>0.7</c:v>
                </c:pt>
                <c:pt idx="1">
                  <c:v>0.7</c:v>
                </c:pt>
                <c:pt idx="2">
                  <c:v>0.7</c:v>
                </c:pt>
                <c:pt idx="3">
                  <c:v>0.7</c:v>
                </c:pt>
                <c:pt idx="4">
                  <c:v>0.7</c:v>
                </c:pt>
                <c:pt idx="5">
                  <c:v>0.7</c:v>
                </c:pt>
                <c:pt idx="6">
                  <c:v>0.7</c:v>
                </c:pt>
              </c:numCache>
            </c:numRef>
          </c:val>
          <c:smooth val="0"/>
          <c:extLst>
            <c:ext xmlns:c16="http://schemas.microsoft.com/office/drawing/2014/chart" uri="{C3380CC4-5D6E-409C-BE32-E72D297353CC}">
              <c16:uniqueId val="{00000013-F345-4687-B712-0132EBD4819C}"/>
            </c:ext>
          </c:extLst>
        </c:ser>
        <c:dLbls>
          <c:showLegendKey val="0"/>
          <c:showVal val="0"/>
          <c:showCatName val="0"/>
          <c:showSerName val="0"/>
          <c:showPercent val="0"/>
          <c:showBubbleSize val="0"/>
        </c:dLbls>
        <c:marker val="1"/>
        <c:smooth val="0"/>
        <c:axId val="579863264"/>
        <c:axId val="866636144"/>
      </c:lineChart>
      <c:catAx>
        <c:axId val="579863264"/>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66636144"/>
        <c:crosses val="autoZero"/>
        <c:auto val="1"/>
        <c:lblAlgn val="ctr"/>
        <c:lblOffset val="100"/>
        <c:noMultiLvlLbl val="0"/>
      </c:catAx>
      <c:valAx>
        <c:axId val="866636144"/>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79863264"/>
        <c:crosses val="autoZero"/>
        <c:crossBetween val="between"/>
      </c:valAx>
      <c:spPr>
        <a:noFill/>
        <a:ln>
          <a:noFill/>
        </a:ln>
        <a:effectLst/>
      </c:spPr>
    </c:plotArea>
    <c:legend>
      <c:legendPos val="b"/>
      <c:layout>
        <c:manualLayout>
          <c:xMode val="edge"/>
          <c:yMode val="edge"/>
          <c:x val="2.7251653679707336E-2"/>
          <c:y val="0.72341049554534498"/>
          <c:w val="0.93013343355689826"/>
          <c:h val="0.261175307095839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PC2.01_Ind02. Percentatge d’hores de docència impartides per PDI amb títol de doctor (genèric</a:t>
            </a:r>
            <a:r>
              <a:rPr lang="ca-ES" sz="1400" b="1" baseline="0">
                <a:effectLst/>
                <a:latin typeface="Calibri" panose="020F0502020204030204" pitchFamily="34" charset="0"/>
                <a:ea typeface="Calibri" panose="020F0502020204030204" pitchFamily="34" charset="0"/>
                <a:cs typeface="Calibri" panose="020F0502020204030204" pitchFamily="34" charset="0"/>
              </a:rPr>
              <a:t> centre)</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'PC2.01_Ind02'!$B$36</c:f>
              <c:strCache>
                <c:ptCount val="1"/>
                <c:pt idx="0">
                  <c:v>% Compliment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'PC2.01_Ind02'!$D$36:$J$36</c:f>
              <c:numCache>
                <c:formatCode>0.00%</c:formatCode>
                <c:ptCount val="7"/>
                <c:pt idx="0">
                  <c:v>0.94117647058823528</c:v>
                </c:pt>
                <c:pt idx="1">
                  <c:v>1</c:v>
                </c:pt>
                <c:pt idx="2">
                  <c:v>1</c:v>
                </c:pt>
                <c:pt idx="3">
                  <c:v>1</c:v>
                </c:pt>
                <c:pt idx="4">
                  <c:v>1</c:v>
                </c:pt>
                <c:pt idx="5">
                  <c:v>0.94444444444444442</c:v>
                </c:pt>
                <c:pt idx="6">
                  <c:v>0.88888888888888884</c:v>
                </c:pt>
              </c:numCache>
            </c:numRef>
          </c:val>
          <c:extLst>
            <c:ext xmlns:c16="http://schemas.microsoft.com/office/drawing/2014/chart" uri="{C3380CC4-5D6E-409C-BE32-E72D297353CC}">
              <c16:uniqueId val="{00000000-251F-4DB5-9765-9995FECD7DA3}"/>
            </c:ext>
          </c:extLst>
        </c:ser>
        <c:dLbls>
          <c:showLegendKey val="0"/>
          <c:showVal val="0"/>
          <c:showCatName val="0"/>
          <c:showSerName val="0"/>
          <c:showPercent val="0"/>
          <c:showBubbleSize val="0"/>
        </c:dLbls>
        <c:gapWidth val="150"/>
        <c:axId val="544199376"/>
        <c:axId val="544203696"/>
      </c:barChart>
      <c:lineChart>
        <c:grouping val="standard"/>
        <c:varyColors val="0"/>
        <c:ser>
          <c:idx val="1"/>
          <c:order val="1"/>
          <c:tx>
            <c:strRef>
              <c:f>'PC2.01_Ind02'!$B$35</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'PC2.01_Ind02'!$D$35:$J$35</c:f>
              <c:numCache>
                <c:formatCode>0.00%</c:formatCode>
                <c:ptCount val="7"/>
                <c:pt idx="0">
                  <c:v>0.7</c:v>
                </c:pt>
                <c:pt idx="1">
                  <c:v>0.7</c:v>
                </c:pt>
                <c:pt idx="2">
                  <c:v>0.7</c:v>
                </c:pt>
                <c:pt idx="3">
                  <c:v>0.7</c:v>
                </c:pt>
                <c:pt idx="4">
                  <c:v>0.7</c:v>
                </c:pt>
                <c:pt idx="5">
                  <c:v>0.7</c:v>
                </c:pt>
                <c:pt idx="6">
                  <c:v>0.7</c:v>
                </c:pt>
              </c:numCache>
            </c:numRef>
          </c:val>
          <c:smooth val="0"/>
          <c:extLst>
            <c:ext xmlns:c16="http://schemas.microsoft.com/office/drawing/2014/chart" uri="{C3380CC4-5D6E-409C-BE32-E72D297353CC}">
              <c16:uniqueId val="{00000001-251F-4DB5-9765-9995FECD7DA3}"/>
            </c:ext>
          </c:extLst>
        </c:ser>
        <c:dLbls>
          <c:showLegendKey val="0"/>
          <c:showVal val="0"/>
          <c:showCatName val="0"/>
          <c:showSerName val="0"/>
          <c:showPercent val="0"/>
          <c:showBubbleSize val="0"/>
        </c:dLbls>
        <c:marker val="1"/>
        <c:smooth val="0"/>
        <c:axId val="544199376"/>
        <c:axId val="544203696"/>
      </c:lineChart>
      <c:catAx>
        <c:axId val="5441993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44203696"/>
        <c:crosses val="autoZero"/>
        <c:auto val="1"/>
        <c:lblAlgn val="ctr"/>
        <c:lblOffset val="100"/>
        <c:noMultiLvlLbl val="0"/>
      </c:catAx>
      <c:valAx>
        <c:axId val="544203696"/>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44199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200" b="1" i="0" u="none" strike="noStrike" baseline="0">
                <a:effectLst/>
              </a:rPr>
              <a:t>PE1.01_Ind02. Percentatge de propostes de millora implementades per curs acadèmic</a:t>
            </a:r>
            <a:endParaRPr lang="ca-ES" sz="12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'PE1.01_Ind02'!$B$14:$C$14</c:f>
              <c:strCache>
                <c:ptCount val="2"/>
                <c:pt idx="0">
                  <c:v>Valor real</c:v>
                </c:pt>
              </c:strCache>
            </c:strRef>
          </c:tx>
          <c:spPr>
            <a:solidFill>
              <a:schemeClr val="accent1"/>
            </a:solidFill>
            <a:ln>
              <a:noFill/>
            </a:ln>
            <a:effectLst>
              <a:outerShdw blurRad="57150" dist="19050" dir="5400000" algn="ctr" rotWithShape="0">
                <a:srgbClr val="000000">
                  <a:alpha val="63000"/>
                </a:srgbClr>
              </a:outerShdw>
            </a:effectLst>
          </c:spPr>
          <c:invertIfNegative val="0"/>
          <c:cat>
            <c:strRef>
              <c:f>'PE1.01_Ind02'!$D$13:$J$13</c:f>
              <c:strCache>
                <c:ptCount val="7"/>
                <c:pt idx="0">
                  <c:v>2017/2018</c:v>
                </c:pt>
                <c:pt idx="1">
                  <c:v>2018/2019</c:v>
                </c:pt>
                <c:pt idx="2">
                  <c:v>2019/2020</c:v>
                </c:pt>
                <c:pt idx="3">
                  <c:v>2020/2021</c:v>
                </c:pt>
                <c:pt idx="4">
                  <c:v>2021/2022</c:v>
                </c:pt>
                <c:pt idx="5">
                  <c:v>2022/2023</c:v>
                </c:pt>
                <c:pt idx="6">
                  <c:v>2023/2024</c:v>
                </c:pt>
              </c:strCache>
            </c:strRef>
          </c:cat>
          <c:val>
            <c:numRef>
              <c:f>'PE1.01_Ind02'!$D$14:$J$14</c:f>
              <c:numCache>
                <c:formatCode>0%</c:formatCode>
                <c:ptCount val="7"/>
                <c:pt idx="0" formatCode="0.00%">
                  <c:v>0.41830000000000001</c:v>
                </c:pt>
                <c:pt idx="1">
                  <c:v>0.11</c:v>
                </c:pt>
                <c:pt idx="2" formatCode="0.00%">
                  <c:v>0.87629999999999997</c:v>
                </c:pt>
                <c:pt idx="3">
                  <c:v>0.8</c:v>
                </c:pt>
                <c:pt idx="4">
                  <c:v>0.94020000000000004</c:v>
                </c:pt>
                <c:pt idx="5">
                  <c:v>0.26</c:v>
                </c:pt>
                <c:pt idx="6">
                  <c:v>0.55310000000000004</c:v>
                </c:pt>
              </c:numCache>
            </c:numRef>
          </c:val>
          <c:extLst>
            <c:ext xmlns:c16="http://schemas.microsoft.com/office/drawing/2014/chart" uri="{C3380CC4-5D6E-409C-BE32-E72D297353CC}">
              <c16:uniqueId val="{00000000-0506-47F3-B998-1B4BF00E3377}"/>
            </c:ext>
          </c:extLst>
        </c:ser>
        <c:dLbls>
          <c:showLegendKey val="0"/>
          <c:showVal val="0"/>
          <c:showCatName val="0"/>
          <c:showSerName val="0"/>
          <c:showPercent val="0"/>
          <c:showBubbleSize val="0"/>
        </c:dLbls>
        <c:gapWidth val="219"/>
        <c:axId val="1499502592"/>
        <c:axId val="1289896992"/>
      </c:barChart>
      <c:lineChart>
        <c:grouping val="standard"/>
        <c:varyColors val="0"/>
        <c:ser>
          <c:idx val="1"/>
          <c:order val="1"/>
          <c:tx>
            <c:strRef>
              <c:f>'PE1.01_Ind02'!$B$15:$C$15</c:f>
              <c:strCache>
                <c:ptCount val="2"/>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cat>
            <c:strRef>
              <c:f>'PE1.01_Ind02'!$D$13:$J$13</c:f>
              <c:strCache>
                <c:ptCount val="7"/>
                <c:pt idx="0">
                  <c:v>2017/2018</c:v>
                </c:pt>
                <c:pt idx="1">
                  <c:v>2018/2019</c:v>
                </c:pt>
                <c:pt idx="2">
                  <c:v>2019/2020</c:v>
                </c:pt>
                <c:pt idx="3">
                  <c:v>2020/2021</c:v>
                </c:pt>
                <c:pt idx="4">
                  <c:v>2021/2022</c:v>
                </c:pt>
                <c:pt idx="5">
                  <c:v>2022/2023</c:v>
                </c:pt>
                <c:pt idx="6">
                  <c:v>2023/2024</c:v>
                </c:pt>
              </c:strCache>
            </c:strRef>
          </c:cat>
          <c:val>
            <c:numRef>
              <c:f>'PE1.01_Ind02'!$D$15:$J$15</c:f>
              <c:numCache>
                <c:formatCode>0%</c:formatCode>
                <c:ptCount val="7"/>
                <c:pt idx="0">
                  <c:v>0.8</c:v>
                </c:pt>
                <c:pt idx="1">
                  <c:v>0.8</c:v>
                </c:pt>
                <c:pt idx="2">
                  <c:v>0.8</c:v>
                </c:pt>
                <c:pt idx="3">
                  <c:v>0.8</c:v>
                </c:pt>
                <c:pt idx="4">
                  <c:v>0.8</c:v>
                </c:pt>
                <c:pt idx="5">
                  <c:v>0.8</c:v>
                </c:pt>
                <c:pt idx="6">
                  <c:v>0.8</c:v>
                </c:pt>
              </c:numCache>
            </c:numRef>
          </c:val>
          <c:smooth val="0"/>
          <c:extLst>
            <c:ext xmlns:c16="http://schemas.microsoft.com/office/drawing/2014/chart" uri="{C3380CC4-5D6E-409C-BE32-E72D297353CC}">
              <c16:uniqueId val="{00000001-0506-47F3-B998-1B4BF00E3377}"/>
            </c:ext>
          </c:extLst>
        </c:ser>
        <c:dLbls>
          <c:showLegendKey val="0"/>
          <c:showVal val="0"/>
          <c:showCatName val="0"/>
          <c:showSerName val="0"/>
          <c:showPercent val="0"/>
          <c:showBubbleSize val="0"/>
        </c:dLbls>
        <c:marker val="1"/>
        <c:smooth val="0"/>
        <c:axId val="1499502592"/>
        <c:axId val="1289896992"/>
      </c:lineChart>
      <c:catAx>
        <c:axId val="1499502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89896992"/>
        <c:crosses val="autoZero"/>
        <c:auto val="1"/>
        <c:lblAlgn val="ctr"/>
        <c:lblOffset val="100"/>
        <c:noMultiLvlLbl val="0"/>
      </c:catAx>
      <c:valAx>
        <c:axId val="1289896992"/>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9950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PC2.01_Ind03. Valoració mitjana a l’afirmació “Fins ara s’ha seguit la programació de l’assignatura que s’explica a la guia docent dels Graus</a:t>
            </a:r>
            <a:r>
              <a:rPr lang="ca-ES" sz="1800" b="1">
                <a:effectLst/>
              </a:rPr>
              <a:t>”</a:t>
            </a:r>
            <a:endParaRPr lang="ca-ES" sz="18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'PC2.01_Ind03'!$B$15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'PC2.01_Ind03'!$D$15:$J$15</c:f>
              <c:numCache>
                <c:formatCode>General</c:formatCode>
                <c:ptCount val="7"/>
                <c:pt idx="0" formatCode="0.00">
                  <c:v>3.28</c:v>
                </c:pt>
                <c:pt idx="1">
                  <c:v>3.42</c:v>
                </c:pt>
                <c:pt idx="2" formatCode="0.00">
                  <c:v>3.2450000000000001</c:v>
                </c:pt>
                <c:pt idx="3">
                  <c:v>3.42</c:v>
                </c:pt>
                <c:pt idx="4">
                  <c:v>3.36</c:v>
                </c:pt>
                <c:pt idx="5">
                  <c:v>3.33</c:v>
                </c:pt>
                <c:pt idx="6">
                  <c:v>3.42</c:v>
                </c:pt>
              </c:numCache>
            </c:numRef>
          </c:val>
          <c:extLst>
            <c:ext xmlns:c16="http://schemas.microsoft.com/office/drawing/2014/chart" uri="{C3380CC4-5D6E-409C-BE32-E72D297353CC}">
              <c16:uniqueId val="{00000001-C04F-4934-994A-FF234EC97AEE}"/>
            </c:ext>
          </c:extLst>
        </c:ser>
        <c:ser>
          <c:idx val="1"/>
          <c:order val="1"/>
          <c:tx>
            <c:strRef>
              <c:f>'PC2.01_Ind03'!$B$16</c:f>
              <c:strCache>
                <c:ptCount val="1"/>
                <c:pt idx="0">
                  <c:v>CCAA+Geologia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'PC2.01_Ind03'!$D$16:$J$16</c:f>
              <c:numCache>
                <c:formatCode>General</c:formatCode>
                <c:ptCount val="7"/>
                <c:pt idx="0" formatCode="0.00">
                  <c:v>0</c:v>
                </c:pt>
                <c:pt idx="1">
                  <c:v>0</c:v>
                </c:pt>
                <c:pt idx="2" formatCode="0.00">
                  <c:v>3.3</c:v>
                </c:pt>
                <c:pt idx="3">
                  <c:v>0</c:v>
                </c:pt>
                <c:pt idx="4">
                  <c:v>0</c:v>
                </c:pt>
                <c:pt idx="5">
                  <c:v>0</c:v>
                </c:pt>
                <c:pt idx="6">
                  <c:v>3.36</c:v>
                </c:pt>
              </c:numCache>
            </c:numRef>
          </c:val>
          <c:extLst>
            <c:ext xmlns:c16="http://schemas.microsoft.com/office/drawing/2014/chart" uri="{C3380CC4-5D6E-409C-BE32-E72D297353CC}">
              <c16:uniqueId val="{00000002-C04F-4934-994A-FF234EC97AEE}"/>
            </c:ext>
          </c:extLst>
        </c:ser>
        <c:ser>
          <c:idx val="2"/>
          <c:order val="2"/>
          <c:tx>
            <c:strRef>
              <c:f>'PC2.01_Ind03'!$B$17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'PC2.01_Ind03'!$D$17:$J$17</c:f>
              <c:numCache>
                <c:formatCode>General</c:formatCode>
                <c:ptCount val="7"/>
                <c:pt idx="0" formatCode="0.00">
                  <c:v>3.24</c:v>
                </c:pt>
                <c:pt idx="1">
                  <c:v>3.32</c:v>
                </c:pt>
                <c:pt idx="2" formatCode="0.00">
                  <c:v>3.16</c:v>
                </c:pt>
                <c:pt idx="3">
                  <c:v>3.36</c:v>
                </c:pt>
                <c:pt idx="4">
                  <c:v>3.45</c:v>
                </c:pt>
                <c:pt idx="5">
                  <c:v>3.38</c:v>
                </c:pt>
                <c:pt idx="6">
                  <c:v>3.33</c:v>
                </c:pt>
              </c:numCache>
            </c:numRef>
          </c:val>
          <c:extLst>
            <c:ext xmlns:c16="http://schemas.microsoft.com/office/drawing/2014/chart" uri="{C3380CC4-5D6E-409C-BE32-E72D297353CC}">
              <c16:uniqueId val="{00000003-C04F-4934-994A-FF234EC97AEE}"/>
            </c:ext>
          </c:extLst>
        </c:ser>
        <c:ser>
          <c:idx val="3"/>
          <c:order val="3"/>
          <c:tx>
            <c:strRef>
              <c:f>'PC2.01_Ind03'!$B$18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'PC2.01_Ind03'!$D$18:$J$18</c:f>
              <c:numCache>
                <c:formatCode>General</c:formatCode>
                <c:ptCount val="7"/>
                <c:pt idx="0" formatCode="0.00">
                  <c:v>3.4349999999999996</c:v>
                </c:pt>
                <c:pt idx="1">
                  <c:v>3.49</c:v>
                </c:pt>
                <c:pt idx="2" formatCode="0.00">
                  <c:v>3.492</c:v>
                </c:pt>
                <c:pt idx="3">
                  <c:v>3.55</c:v>
                </c:pt>
                <c:pt idx="4">
                  <c:v>3.58</c:v>
                </c:pt>
                <c:pt idx="5">
                  <c:v>3.57</c:v>
                </c:pt>
                <c:pt idx="6">
                  <c:v>3.47</c:v>
                </c:pt>
              </c:numCache>
            </c:numRef>
          </c:val>
          <c:extLst>
            <c:ext xmlns:c16="http://schemas.microsoft.com/office/drawing/2014/chart" uri="{C3380CC4-5D6E-409C-BE32-E72D297353CC}">
              <c16:uniqueId val="{00000004-C04F-4934-994A-FF234EC97AEE}"/>
            </c:ext>
          </c:extLst>
        </c:ser>
        <c:ser>
          <c:idx val="4"/>
          <c:order val="4"/>
          <c:tx>
            <c:strRef>
              <c:f>'PC2.01_Ind03'!$B$19</c:f>
              <c:strCache>
                <c:ptCount val="1"/>
                <c:pt idx="0">
                  <c:v>Física+Matemàtiques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'PC2.01_Ind03'!$D$19:$J$19</c:f>
              <c:numCache>
                <c:formatCode>General</c:formatCode>
                <c:ptCount val="7"/>
                <c:pt idx="0" formatCode="0.00">
                  <c:v>0</c:v>
                </c:pt>
                <c:pt idx="1">
                  <c:v>0</c:v>
                </c:pt>
                <c:pt idx="2" formatCode="0.00">
                  <c:v>3.49</c:v>
                </c:pt>
                <c:pt idx="3">
                  <c:v>3.36</c:v>
                </c:pt>
                <c:pt idx="4">
                  <c:v>3.65</c:v>
                </c:pt>
                <c:pt idx="5">
                  <c:v>3.5</c:v>
                </c:pt>
                <c:pt idx="6">
                  <c:v>3.71</c:v>
                </c:pt>
              </c:numCache>
            </c:numRef>
          </c:val>
          <c:extLst>
            <c:ext xmlns:c16="http://schemas.microsoft.com/office/drawing/2014/chart" uri="{C3380CC4-5D6E-409C-BE32-E72D297353CC}">
              <c16:uniqueId val="{00000005-C04F-4934-994A-FF234EC97AEE}"/>
            </c:ext>
          </c:extLst>
        </c:ser>
        <c:ser>
          <c:idx val="5"/>
          <c:order val="5"/>
          <c:tx>
            <c:strRef>
              <c:f>'PC2.01_Ind03'!$B$20</c:f>
              <c:strCache>
                <c:ptCount val="1"/>
                <c:pt idx="0">
                  <c:v>Física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'PC2.01_Ind03'!$D$20:$J$20</c:f>
              <c:numCache>
                <c:formatCode>General</c:formatCode>
                <c:ptCount val="7"/>
                <c:pt idx="0" formatCode="0.00">
                  <c:v>0</c:v>
                </c:pt>
                <c:pt idx="1">
                  <c:v>0</c:v>
                </c:pt>
                <c:pt idx="2" formatCode="0.00">
                  <c:v>3.51</c:v>
                </c:pt>
                <c:pt idx="3">
                  <c:v>3.42</c:v>
                </c:pt>
                <c:pt idx="4">
                  <c:v>3.38</c:v>
                </c:pt>
                <c:pt idx="5">
                  <c:v>3.54</c:v>
                </c:pt>
                <c:pt idx="6">
                  <c:v>3.56</c:v>
                </c:pt>
              </c:numCache>
            </c:numRef>
          </c:val>
          <c:extLst>
            <c:ext xmlns:c16="http://schemas.microsoft.com/office/drawing/2014/chart" uri="{C3380CC4-5D6E-409C-BE32-E72D297353CC}">
              <c16:uniqueId val="{00000006-C04F-4934-994A-FF234EC97AEE}"/>
            </c:ext>
          </c:extLst>
        </c:ser>
        <c:ser>
          <c:idx val="6"/>
          <c:order val="6"/>
          <c:tx>
            <c:strRef>
              <c:f>'PC2.01_Ind03'!$B$21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'PC2.01_Ind03'!$D$21:$J$21</c:f>
              <c:numCache>
                <c:formatCode>General</c:formatCode>
                <c:ptCount val="7"/>
                <c:pt idx="0" formatCode="0.00">
                  <c:v>3.1749999999999998</c:v>
                </c:pt>
                <c:pt idx="1">
                  <c:v>3.16</c:v>
                </c:pt>
                <c:pt idx="2" formatCode="0.00">
                  <c:v>3.1799999999999997</c:v>
                </c:pt>
                <c:pt idx="3">
                  <c:v>3.03</c:v>
                </c:pt>
                <c:pt idx="4">
                  <c:v>3.36</c:v>
                </c:pt>
                <c:pt idx="5">
                  <c:v>3.35</c:v>
                </c:pt>
                <c:pt idx="6">
                  <c:v>3.3</c:v>
                </c:pt>
              </c:numCache>
            </c:numRef>
          </c:val>
          <c:extLst>
            <c:ext xmlns:c16="http://schemas.microsoft.com/office/drawing/2014/chart" uri="{C3380CC4-5D6E-409C-BE32-E72D297353CC}">
              <c16:uniqueId val="{00000007-C04F-4934-994A-FF234EC97AEE}"/>
            </c:ext>
          </c:extLst>
        </c:ser>
        <c:ser>
          <c:idx val="7"/>
          <c:order val="7"/>
          <c:tx>
            <c:strRef>
              <c:f>'PC2.01_Ind03'!$B$22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'PC2.01_Ind03'!$D$22:$J$22</c:f>
              <c:numCache>
                <c:formatCode>General</c:formatCode>
                <c:ptCount val="7"/>
                <c:pt idx="0" formatCode="0.00">
                  <c:v>0</c:v>
                </c:pt>
                <c:pt idx="1">
                  <c:v>3.65</c:v>
                </c:pt>
                <c:pt idx="2" formatCode="0.00">
                  <c:v>3.6150000000000002</c:v>
                </c:pt>
                <c:pt idx="3">
                  <c:v>0</c:v>
                </c:pt>
                <c:pt idx="4">
                  <c:v>3.53</c:v>
                </c:pt>
                <c:pt idx="5">
                  <c:v>3.46</c:v>
                </c:pt>
                <c:pt idx="6">
                  <c:v>3.49</c:v>
                </c:pt>
              </c:numCache>
            </c:numRef>
          </c:val>
          <c:extLst>
            <c:ext xmlns:c16="http://schemas.microsoft.com/office/drawing/2014/chart" uri="{C3380CC4-5D6E-409C-BE32-E72D297353CC}">
              <c16:uniqueId val="{00000008-C04F-4934-994A-FF234EC97AEE}"/>
            </c:ext>
          </c:extLst>
        </c:ser>
        <c:ser>
          <c:idx val="8"/>
          <c:order val="8"/>
          <c:tx>
            <c:strRef>
              <c:f>'PC2.01_Ind03'!$B$23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'PC2.01_Ind03'!$D$23:$J$23</c:f>
              <c:numCache>
                <c:formatCode>General</c:formatCode>
                <c:ptCount val="7"/>
                <c:pt idx="0" formatCode="0.00">
                  <c:v>3.4449999999999998</c:v>
                </c:pt>
                <c:pt idx="1">
                  <c:v>3.51</c:v>
                </c:pt>
                <c:pt idx="2" formatCode="0.00">
                  <c:v>3.69</c:v>
                </c:pt>
                <c:pt idx="3">
                  <c:v>3.55</c:v>
                </c:pt>
                <c:pt idx="4">
                  <c:v>3.57</c:v>
                </c:pt>
                <c:pt idx="5">
                  <c:v>3.62</c:v>
                </c:pt>
                <c:pt idx="6">
                  <c:v>3.61</c:v>
                </c:pt>
              </c:numCache>
            </c:numRef>
          </c:val>
          <c:extLst>
            <c:ext xmlns:c16="http://schemas.microsoft.com/office/drawing/2014/chart" uri="{C3380CC4-5D6E-409C-BE32-E72D297353CC}">
              <c16:uniqueId val="{00000009-C04F-4934-994A-FF234EC97AEE}"/>
            </c:ext>
          </c:extLst>
        </c:ser>
        <c:ser>
          <c:idx val="9"/>
          <c:order val="9"/>
          <c:tx>
            <c:strRef>
              <c:f>'PC2.01_Ind03'!$B$24</c:f>
              <c:strCache>
                <c:ptCount val="1"/>
                <c:pt idx="0">
                  <c:v>Nanociència i Nanotecnologia   </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'PC2.01_Ind03'!$D$24:$J$24</c:f>
              <c:numCache>
                <c:formatCode>0.00</c:formatCode>
                <c:ptCount val="7"/>
                <c:pt idx="0">
                  <c:v>3.44</c:v>
                </c:pt>
                <c:pt idx="1">
                  <c:v>3.43</c:v>
                </c:pt>
                <c:pt idx="2">
                  <c:v>3.4000000000000004</c:v>
                </c:pt>
                <c:pt idx="3">
                  <c:v>4</c:v>
                </c:pt>
                <c:pt idx="4">
                  <c:v>3.59</c:v>
                </c:pt>
                <c:pt idx="5">
                  <c:v>3.66</c:v>
                </c:pt>
                <c:pt idx="6">
                  <c:v>3.56</c:v>
                </c:pt>
              </c:numCache>
            </c:numRef>
          </c:val>
          <c:extLst>
            <c:ext xmlns:c16="http://schemas.microsoft.com/office/drawing/2014/chart" uri="{C3380CC4-5D6E-409C-BE32-E72D297353CC}">
              <c16:uniqueId val="{0000000A-C04F-4934-994A-FF234EC97AEE}"/>
            </c:ext>
          </c:extLst>
        </c:ser>
        <c:ser>
          <c:idx val="10"/>
          <c:order val="10"/>
          <c:tx>
            <c:strRef>
              <c:f>'PC2.01_Ind03'!$B$25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'PC2.01_Ind03'!$D$25:$J$25</c:f>
              <c:numCache>
                <c:formatCode>General</c:formatCode>
                <c:ptCount val="7"/>
                <c:pt idx="0" formatCode="0.00">
                  <c:v>3.42</c:v>
                </c:pt>
                <c:pt idx="1">
                  <c:v>3.51</c:v>
                </c:pt>
                <c:pt idx="2" formatCode="0.00">
                  <c:v>3.415</c:v>
                </c:pt>
                <c:pt idx="3">
                  <c:v>3.53</c:v>
                </c:pt>
                <c:pt idx="4">
                  <c:v>3.56</c:v>
                </c:pt>
                <c:pt idx="5">
                  <c:v>3.58</c:v>
                </c:pt>
                <c:pt idx="6">
                  <c:v>3.56</c:v>
                </c:pt>
              </c:numCache>
            </c:numRef>
          </c:val>
          <c:extLst>
            <c:ext xmlns:c16="http://schemas.microsoft.com/office/drawing/2014/chart" uri="{C3380CC4-5D6E-409C-BE32-E72D297353CC}">
              <c16:uniqueId val="{0000000B-C04F-4934-994A-FF234EC97AEE}"/>
            </c:ext>
          </c:extLst>
        </c:ser>
        <c:dLbls>
          <c:showLegendKey val="0"/>
          <c:showVal val="0"/>
          <c:showCatName val="0"/>
          <c:showSerName val="0"/>
          <c:showPercent val="0"/>
          <c:showBubbleSize val="0"/>
        </c:dLbls>
        <c:gapWidth val="150"/>
        <c:axId val="1390138800"/>
        <c:axId val="1519073792"/>
      </c:barChart>
      <c:lineChart>
        <c:grouping val="standard"/>
        <c:varyColors val="0"/>
        <c:ser>
          <c:idx val="11"/>
          <c:order val="11"/>
          <c:tx>
            <c:strRef>
              <c:f>'PC2.01_Ind03'!$B$28</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'PC2.01_Ind03'!$D$28:$J$28</c:f>
              <c:numCache>
                <c:formatCode>0.00</c:formatCode>
                <c:ptCount val="7"/>
                <c:pt idx="0">
                  <c:v>3</c:v>
                </c:pt>
                <c:pt idx="1">
                  <c:v>3</c:v>
                </c:pt>
                <c:pt idx="2">
                  <c:v>3</c:v>
                </c:pt>
                <c:pt idx="3">
                  <c:v>3</c:v>
                </c:pt>
                <c:pt idx="4">
                  <c:v>3</c:v>
                </c:pt>
                <c:pt idx="5">
                  <c:v>3</c:v>
                </c:pt>
                <c:pt idx="6">
                  <c:v>3</c:v>
                </c:pt>
              </c:numCache>
            </c:numRef>
          </c:val>
          <c:smooth val="0"/>
          <c:extLst>
            <c:ext xmlns:c16="http://schemas.microsoft.com/office/drawing/2014/chart" uri="{C3380CC4-5D6E-409C-BE32-E72D297353CC}">
              <c16:uniqueId val="{0000000C-C04F-4934-994A-FF234EC97AEE}"/>
            </c:ext>
          </c:extLst>
        </c:ser>
        <c:dLbls>
          <c:showLegendKey val="0"/>
          <c:showVal val="0"/>
          <c:showCatName val="0"/>
          <c:showSerName val="0"/>
          <c:showPercent val="0"/>
          <c:showBubbleSize val="0"/>
        </c:dLbls>
        <c:marker val="1"/>
        <c:smooth val="0"/>
        <c:axId val="1390138800"/>
        <c:axId val="1519073792"/>
      </c:lineChart>
      <c:catAx>
        <c:axId val="1390138800"/>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19073792"/>
        <c:crosses val="autoZero"/>
        <c:auto val="1"/>
        <c:lblAlgn val="ctr"/>
        <c:lblOffset val="100"/>
        <c:noMultiLvlLbl val="0"/>
      </c:catAx>
      <c:valAx>
        <c:axId val="1519073792"/>
        <c:scaling>
          <c:orientation val="minMax"/>
          <c:max val="4"/>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901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PC2.01_Ind04. Valoració mitjana a l’afirmació “Fins ara s’ha seguit la programació de l’assignatura que s’explica a la guia docent dels Màsters</a:t>
            </a:r>
            <a:r>
              <a:rPr lang="ca-ES" sz="1600" b="1">
                <a:effectLst/>
              </a:rPr>
              <a:t>”</a:t>
            </a:r>
            <a:endParaRPr lang="ca-ES" sz="16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'PC2.01_Ind04'!$B$16</c:f>
              <c:strCache>
                <c:ptCount val="1"/>
                <c:pt idx="0">
                  <c:v>Estudis interdisciplinaris en sostenibilitat ambiental, econòmica i social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'PC2.01_Ind04'!$D$16:$J$16</c:f>
              <c:numCache>
                <c:formatCode>General</c:formatCode>
                <c:ptCount val="7"/>
                <c:pt idx="0" formatCode="0.00">
                  <c:v>3.5449999999999999</c:v>
                </c:pt>
                <c:pt idx="1">
                  <c:v>3.3</c:v>
                </c:pt>
                <c:pt idx="2" formatCode="0.00">
                  <c:v>0</c:v>
                </c:pt>
                <c:pt idx="3" formatCode="0.00">
                  <c:v>0</c:v>
                </c:pt>
                <c:pt idx="4" formatCode="0.00">
                  <c:v>3.89</c:v>
                </c:pt>
                <c:pt idx="5" formatCode="0.00">
                  <c:v>3.49</c:v>
                </c:pt>
                <c:pt idx="6" formatCode="0.00">
                  <c:v>3.64</c:v>
                </c:pt>
              </c:numCache>
            </c:numRef>
          </c:val>
          <c:extLst>
            <c:ext xmlns:c16="http://schemas.microsoft.com/office/drawing/2014/chart" uri="{C3380CC4-5D6E-409C-BE32-E72D297353CC}">
              <c16:uniqueId val="{00000000-4EDF-4152-A0D6-9150460C4228}"/>
            </c:ext>
          </c:extLst>
        </c:ser>
        <c:ser>
          <c:idx val="1"/>
          <c:order val="1"/>
          <c:tx>
            <c:strRef>
              <c:f>'PC2.01_Ind04'!$B$17</c:f>
              <c:strCache>
                <c:ptCount val="1"/>
                <c:pt idx="0">
                  <c:v>Física d'Altes Energies, Astrofísica i Cosmologia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'PC2.01_Ind04'!$D$17:$J$17</c:f>
              <c:numCache>
                <c:formatCode>General</c:formatCode>
                <c:ptCount val="7"/>
                <c:pt idx="0" formatCode="0.00">
                  <c:v>3.2199999999999998</c:v>
                </c:pt>
                <c:pt idx="1">
                  <c:v>3.47</c:v>
                </c:pt>
                <c:pt idx="2" formatCode="0.00">
                  <c:v>3.64</c:v>
                </c:pt>
                <c:pt idx="3" formatCode="0.00">
                  <c:v>3.64</c:v>
                </c:pt>
                <c:pt idx="4" formatCode="0.00">
                  <c:v>3.83</c:v>
                </c:pt>
                <c:pt idx="5" formatCode="0.00">
                  <c:v>3.8</c:v>
                </c:pt>
                <c:pt idx="6" formatCode="0.00">
                  <c:v>3.48</c:v>
                </c:pt>
              </c:numCache>
            </c:numRef>
          </c:val>
          <c:extLst>
            <c:ext xmlns:c16="http://schemas.microsoft.com/office/drawing/2014/chart" uri="{C3380CC4-5D6E-409C-BE32-E72D297353CC}">
              <c16:uniqueId val="{00000002-4EDF-4152-A0D6-9150460C4228}"/>
            </c:ext>
          </c:extLst>
        </c:ser>
        <c:ser>
          <c:idx val="2"/>
          <c:order val="2"/>
          <c:tx>
            <c:strRef>
              <c:f>'PC2.01_Ind04'!$B$18</c:f>
              <c:strCache>
                <c:ptCount val="1"/>
                <c:pt idx="0">
                  <c:v>Història de la Ciència:Ciència, Història i Societat</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'PC2.01_Ind04'!$D$18:$J$18</c:f>
              <c:numCache>
                <c:formatCode>General</c:formatCode>
                <c:ptCount val="7"/>
                <c:pt idx="0" formatCode="0.00">
                  <c:v>4</c:v>
                </c:pt>
                <c:pt idx="1">
                  <c:v>3.61</c:v>
                </c:pt>
                <c:pt idx="2" formatCode="0.00">
                  <c:v>3.76</c:v>
                </c:pt>
                <c:pt idx="3" formatCode="0.00">
                  <c:v>3.875</c:v>
                </c:pt>
                <c:pt idx="4" formatCode="0.00">
                  <c:v>3.72</c:v>
                </c:pt>
                <c:pt idx="5" formatCode="0.00">
                  <c:v>3.72</c:v>
                </c:pt>
                <c:pt idx="6" formatCode="0.00">
                  <c:v>3.63</c:v>
                </c:pt>
              </c:numCache>
            </c:numRef>
          </c:val>
          <c:extLst>
            <c:ext xmlns:c16="http://schemas.microsoft.com/office/drawing/2014/chart" uri="{C3380CC4-5D6E-409C-BE32-E72D297353CC}">
              <c16:uniqueId val="{00000003-4EDF-4152-A0D6-9150460C4228}"/>
            </c:ext>
          </c:extLst>
        </c:ser>
        <c:ser>
          <c:idx val="3"/>
          <c:order val="3"/>
          <c:tx>
            <c:strRef>
              <c:f>'PC2.01_Ind04'!$B$19</c:f>
              <c:strCache>
                <c:ptCount val="1"/>
                <c:pt idx="0">
                  <c:v>Modelització per a la Ciència i l'Enginyeria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'PC2.01_Ind04'!$D$19:$J$19</c:f>
              <c:numCache>
                <c:formatCode>General</c:formatCode>
                <c:ptCount val="7"/>
                <c:pt idx="0" formatCode="0.00">
                  <c:v>3.21</c:v>
                </c:pt>
                <c:pt idx="1">
                  <c:v>3.52</c:v>
                </c:pt>
                <c:pt idx="2" formatCode="0.00">
                  <c:v>3.39</c:v>
                </c:pt>
                <c:pt idx="3" formatCode="0.00">
                  <c:v>2.86</c:v>
                </c:pt>
                <c:pt idx="4" formatCode="0.00">
                  <c:v>0</c:v>
                </c:pt>
                <c:pt idx="5" formatCode="0.00">
                  <c:v>0</c:v>
                </c:pt>
                <c:pt idx="6" formatCode="0.00">
                  <c:v>0</c:v>
                </c:pt>
              </c:numCache>
            </c:numRef>
          </c:val>
          <c:extLst>
            <c:ext xmlns:c16="http://schemas.microsoft.com/office/drawing/2014/chart" uri="{C3380CC4-5D6E-409C-BE32-E72D297353CC}">
              <c16:uniqueId val="{00000004-4EDF-4152-A0D6-9150460C4228}"/>
            </c:ext>
          </c:extLst>
        </c:ser>
        <c:ser>
          <c:idx val="4"/>
          <c:order val="4"/>
          <c:tx>
            <c:strRef>
              <c:f>'PC2.01_Ind04'!$B$20</c:f>
              <c:strCache>
                <c:ptCount val="1"/>
                <c:pt idx="0">
                  <c:v>Nanociència i Nanotecnologia avançades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'PC2.01_Ind04'!$D$20:$J$20</c:f>
              <c:numCache>
                <c:formatCode>General</c:formatCode>
                <c:ptCount val="7"/>
                <c:pt idx="0" formatCode="0.00">
                  <c:v>0</c:v>
                </c:pt>
                <c:pt idx="1">
                  <c:v>3.5</c:v>
                </c:pt>
                <c:pt idx="2" formatCode="0.00">
                  <c:v>0</c:v>
                </c:pt>
                <c:pt idx="3" formatCode="0.00">
                  <c:v>0</c:v>
                </c:pt>
                <c:pt idx="4" formatCode="0.00">
                  <c:v>3.05</c:v>
                </c:pt>
                <c:pt idx="5" formatCode="0.00">
                  <c:v>3.46</c:v>
                </c:pt>
                <c:pt idx="6" formatCode="0.00">
                  <c:v>3.64</c:v>
                </c:pt>
              </c:numCache>
            </c:numRef>
          </c:val>
          <c:extLst>
            <c:ext xmlns:c16="http://schemas.microsoft.com/office/drawing/2014/chart" uri="{C3380CC4-5D6E-409C-BE32-E72D297353CC}">
              <c16:uniqueId val="{00000005-4EDF-4152-A0D6-9150460C4228}"/>
            </c:ext>
          </c:extLst>
        </c:ser>
        <c:ser>
          <c:idx val="5"/>
          <c:order val="5"/>
          <c:tx>
            <c:strRef>
              <c:f>'PC2.01_Ind04'!$B$21</c:f>
              <c:strCache>
                <c:ptCount val="1"/>
                <c:pt idx="0">
                  <c:v>Paleobiologia i Registre Fòssil </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'PC2.01_Ind04'!$D$21:$J$21</c:f>
              <c:numCache>
                <c:formatCode>General</c:formatCode>
                <c:ptCount val="7"/>
                <c:pt idx="0" formatCode="0.00">
                  <c:v>2.5</c:v>
                </c:pt>
                <c:pt idx="1">
                  <c:v>3.44</c:v>
                </c:pt>
                <c:pt idx="2" formatCode="0.00">
                  <c:v>0</c:v>
                </c:pt>
                <c:pt idx="3" formatCode="0.00">
                  <c:v>0</c:v>
                </c:pt>
                <c:pt idx="4" formatCode="0.00">
                  <c:v>0</c:v>
                </c:pt>
                <c:pt idx="5" formatCode="0.00">
                  <c:v>3.88</c:v>
                </c:pt>
                <c:pt idx="6" formatCode="0.00">
                  <c:v>3.19</c:v>
                </c:pt>
              </c:numCache>
            </c:numRef>
          </c:val>
          <c:extLst>
            <c:ext xmlns:c16="http://schemas.microsoft.com/office/drawing/2014/chart" uri="{C3380CC4-5D6E-409C-BE32-E72D297353CC}">
              <c16:uniqueId val="{00000006-4EDF-4152-A0D6-9150460C4228}"/>
            </c:ext>
          </c:extLst>
        </c:ser>
        <c:ser>
          <c:idx val="6"/>
          <c:order val="6"/>
          <c:tx>
            <c:strRef>
              <c:f>'PC2.01_Ind04'!$B$22</c:f>
              <c:strCache>
                <c:ptCount val="1"/>
                <c:pt idx="0">
                  <c:v>Química industrial i introducció a la recerca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'PC2.01_Ind04'!$D$22:$J$22</c:f>
              <c:numCache>
                <c:formatCode>General</c:formatCode>
                <c:ptCount val="7"/>
                <c:pt idx="0" formatCode="0.00">
                  <c:v>0</c:v>
                </c:pt>
                <c:pt idx="1">
                  <c:v>3.38</c:v>
                </c:pt>
                <c:pt idx="2" formatCode="0.00">
                  <c:v>0</c:v>
                </c:pt>
                <c:pt idx="3" formatCode="0.00">
                  <c:v>0</c:v>
                </c:pt>
                <c:pt idx="4" formatCode="0.00">
                  <c:v>0</c:v>
                </c:pt>
                <c:pt idx="5" formatCode="0.00">
                  <c:v>3.5</c:v>
                </c:pt>
                <c:pt idx="6" formatCode="0.00">
                  <c:v>3.63</c:v>
                </c:pt>
              </c:numCache>
            </c:numRef>
          </c:val>
          <c:extLst>
            <c:ext xmlns:c16="http://schemas.microsoft.com/office/drawing/2014/chart" uri="{C3380CC4-5D6E-409C-BE32-E72D297353CC}">
              <c16:uniqueId val="{00000007-4EDF-4152-A0D6-9150460C4228}"/>
            </c:ext>
          </c:extLst>
        </c:ser>
        <c:dLbls>
          <c:showLegendKey val="0"/>
          <c:showVal val="0"/>
          <c:showCatName val="0"/>
          <c:showSerName val="0"/>
          <c:showPercent val="0"/>
          <c:showBubbleSize val="0"/>
        </c:dLbls>
        <c:gapWidth val="219"/>
        <c:axId val="1520671392"/>
        <c:axId val="1583835376"/>
      </c:barChart>
      <c:lineChart>
        <c:grouping val="standard"/>
        <c:varyColors val="0"/>
        <c:ser>
          <c:idx val="7"/>
          <c:order val="7"/>
          <c:tx>
            <c:strRef>
              <c:f>'PC2.01_Ind04'!$B$25</c:f>
              <c:strCache>
                <c:ptCount val="1"/>
                <c:pt idx="0">
                  <c:v>Valor 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none"/>
          </c:marker>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'PC2.01_Ind04'!$D$25:$J$25</c:f>
              <c:numCache>
                <c:formatCode>0.00</c:formatCode>
                <c:ptCount val="7"/>
                <c:pt idx="0">
                  <c:v>3</c:v>
                </c:pt>
                <c:pt idx="1">
                  <c:v>3</c:v>
                </c:pt>
                <c:pt idx="2">
                  <c:v>3</c:v>
                </c:pt>
                <c:pt idx="3">
                  <c:v>3</c:v>
                </c:pt>
                <c:pt idx="4">
                  <c:v>3</c:v>
                </c:pt>
                <c:pt idx="5">
                  <c:v>3</c:v>
                </c:pt>
                <c:pt idx="6">
                  <c:v>3</c:v>
                </c:pt>
              </c:numCache>
            </c:numRef>
          </c:val>
          <c:smooth val="0"/>
          <c:extLst>
            <c:ext xmlns:c16="http://schemas.microsoft.com/office/drawing/2014/chart" uri="{C3380CC4-5D6E-409C-BE32-E72D297353CC}">
              <c16:uniqueId val="{00000008-4EDF-4152-A0D6-9150460C4228}"/>
            </c:ext>
          </c:extLst>
        </c:ser>
        <c:dLbls>
          <c:showLegendKey val="0"/>
          <c:showVal val="0"/>
          <c:showCatName val="0"/>
          <c:showSerName val="0"/>
          <c:showPercent val="0"/>
          <c:showBubbleSize val="0"/>
        </c:dLbls>
        <c:marker val="1"/>
        <c:smooth val="0"/>
        <c:axId val="1520671392"/>
        <c:axId val="1583835376"/>
      </c:lineChart>
      <c:catAx>
        <c:axId val="15206713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83835376"/>
        <c:crosses val="autoZero"/>
        <c:auto val="1"/>
        <c:lblAlgn val="ctr"/>
        <c:lblOffset val="100"/>
        <c:noMultiLvlLbl val="0"/>
      </c:catAx>
      <c:valAx>
        <c:axId val="1583835376"/>
        <c:scaling>
          <c:orientation val="minMax"/>
          <c:max val="4"/>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2067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Evolució de les assignatures en anglès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5.3472440944881891E-2"/>
          <c:y val="7.407407407407407E-2"/>
          <c:w val="0.9020831146106737"/>
          <c:h val="0.84731481481481485"/>
        </c:manualLayout>
      </c:layout>
      <c:barChart>
        <c:barDir val="col"/>
        <c:grouping val="clustered"/>
        <c:varyColors val="0"/>
        <c:ser>
          <c:idx val="0"/>
          <c:order val="0"/>
          <c:tx>
            <c:strRef>
              <c:f>'PC2.01_Ind05'!$B$14</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'PC2.01_Ind05'!$C$14:$F$14</c15:sqref>
                  </c15:fullRef>
                </c:ext>
              </c:extLst>
              <c:f>'PC2.01_Ind05'!$C$14:$F$14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C92E-42F9-AFB0-6934DD49898B}"/>
            </c:ext>
          </c:extLst>
        </c:ser>
        <c:ser>
          <c:idx val="1"/>
          <c:order val="1"/>
          <c:tx>
            <c:strRef>
              <c:f>'PC2.01_Ind05'!$B$15</c:f>
              <c:strCache>
                <c:ptCount val="1"/>
                <c:pt idx="0">
                  <c:v>Estudis Interdisciplinaris en Sostenibilitat Ambiental, Econòmica i Social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'PC2.01_Ind05'!$E$15:$H$15</c15:sqref>
                  </c15:fullRef>
                </c:ext>
              </c:extLst>
              <c:f>'PC2.01_Ind05'!$E$15:$H$15</c:f>
              <c:numCache>
                <c:formatCode>General</c:formatCode>
                <c:ptCount val="4"/>
                <c:pt idx="0">
                  <c:v>16</c:v>
                </c:pt>
                <c:pt idx="1">
                  <c:v>15</c:v>
                </c:pt>
                <c:pt idx="2">
                  <c:v>16</c:v>
                </c:pt>
                <c:pt idx="3">
                  <c:v>15</c:v>
                </c:pt>
              </c:numCache>
            </c:numRef>
          </c:val>
          <c:extLst xmlns:c15="http://schemas.microsoft.com/office/drawing/2012/chart">
            <c:ext xmlns:c16="http://schemas.microsoft.com/office/drawing/2014/chart" uri="{C3380CC4-5D6E-409C-BE32-E72D297353CC}">
              <c16:uniqueId val="{00000001-C92E-42F9-AFB0-6934DD49898B}"/>
            </c:ext>
          </c:extLst>
        </c:ser>
        <c:ser>
          <c:idx val="2"/>
          <c:order val="2"/>
          <c:tx>
            <c:strRef>
              <c:f>'PC2.01_Ind05'!$B$16</c:f>
              <c:strCache>
                <c:ptCount val="1"/>
                <c:pt idx="0">
                  <c:v>Física d’Altes Energies, Astrofísica i Cosmologia</c:v>
                </c:pt>
              </c:strCache>
              <c:extLst xmlns:c15="http://schemas.microsoft.com/office/drawing/2012/chart"/>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'PC2.01_Ind05'!$E$16:$H$16</c15:sqref>
                  </c15:fullRef>
                </c:ext>
              </c:extLst>
              <c:f>'PC2.01_Ind05'!$E$16:$H$16</c:f>
              <c:numCache>
                <c:formatCode>General</c:formatCode>
                <c:ptCount val="4"/>
                <c:pt idx="0">
                  <c:v>14</c:v>
                </c:pt>
                <c:pt idx="1">
                  <c:v>15</c:v>
                </c:pt>
                <c:pt idx="2">
                  <c:v>15</c:v>
                </c:pt>
                <c:pt idx="3">
                  <c:v>14</c:v>
                </c:pt>
              </c:numCache>
            </c:numRef>
          </c:val>
          <c:extLst xmlns:c15="http://schemas.microsoft.com/office/drawing/2012/chart">
            <c:ext xmlns:c16="http://schemas.microsoft.com/office/drawing/2014/chart" uri="{C3380CC4-5D6E-409C-BE32-E72D297353CC}">
              <c16:uniqueId val="{00000002-C92E-42F9-AFB0-6934DD49898B}"/>
            </c:ext>
          </c:extLst>
        </c:ser>
        <c:ser>
          <c:idx val="3"/>
          <c:order val="3"/>
          <c:tx>
            <c:strRef>
              <c:f>'PC2.01_Ind05'!$B$17</c:f>
              <c:strCache>
                <c:ptCount val="1"/>
                <c:pt idx="0">
                  <c:v>Història de la Ciència; Ciència, Història i Societat</c:v>
                </c:pt>
              </c:strCache>
              <c:extLst xmlns:c15="http://schemas.microsoft.com/office/drawing/2012/chart"/>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'PC2.01_Ind05'!$E$17:$H$17</c15:sqref>
                  </c15:fullRef>
                </c:ext>
              </c:extLst>
              <c:f>'PC2.01_Ind05'!$E$17:$H$17</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C92E-42F9-AFB0-6934DD49898B}"/>
            </c:ext>
          </c:extLst>
        </c:ser>
        <c:ser>
          <c:idx val="4"/>
          <c:order val="4"/>
          <c:tx>
            <c:strRef>
              <c:f>'PC2.01_Ind05'!$B$18</c:f>
              <c:strCache>
                <c:ptCount val="1"/>
                <c:pt idx="0">
                  <c:v>Modelització per a la Ciència i la Enginyeria</c:v>
                </c:pt>
              </c:strCache>
              <c:extLst xmlns:c15="http://schemas.microsoft.com/office/drawing/2012/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'PC2.01_Ind05'!$E$18:$H$18</c15:sqref>
                  </c15:fullRef>
                </c:ext>
              </c:extLst>
              <c:f>'PC2.01_Ind05'!$E$18:$H$18</c:f>
              <c:numCache>
                <c:formatCode>General</c:formatCode>
                <c:ptCount val="4"/>
                <c:pt idx="0">
                  <c:v>12</c:v>
                </c:pt>
                <c:pt idx="1">
                  <c:v>12</c:v>
                </c:pt>
                <c:pt idx="2">
                  <c:v>12</c:v>
                </c:pt>
                <c:pt idx="3">
                  <c:v>0</c:v>
                </c:pt>
              </c:numCache>
            </c:numRef>
          </c:val>
          <c:extLst xmlns:c15="http://schemas.microsoft.com/office/drawing/2012/chart">
            <c:ext xmlns:c16="http://schemas.microsoft.com/office/drawing/2014/chart" uri="{C3380CC4-5D6E-409C-BE32-E72D297353CC}">
              <c16:uniqueId val="{00000004-C92E-42F9-AFB0-6934DD49898B}"/>
            </c:ext>
          </c:extLst>
        </c:ser>
        <c:ser>
          <c:idx val="5"/>
          <c:order val="5"/>
          <c:tx>
            <c:strRef>
              <c:f>'PC2.01_Ind05'!$B$19</c:f>
              <c:strCache>
                <c:ptCount val="1"/>
                <c:pt idx="0">
                  <c:v>Nanociència i Nanotecnologia Avançades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'PC2.01_Ind05'!$C$19:$G$19</c15:sqref>
                  </c15:fullRef>
                </c:ext>
              </c:extLst>
              <c:f>'PC2.01_Ind05'!$C$19:$F$19</c:f>
              <c:numCache>
                <c:formatCode>General</c:formatCode>
                <c:ptCount val="4"/>
                <c:pt idx="0">
                  <c:v>15</c:v>
                </c:pt>
                <c:pt idx="1">
                  <c:v>13</c:v>
                </c:pt>
                <c:pt idx="2">
                  <c:v>16</c:v>
                </c:pt>
                <c:pt idx="3">
                  <c:v>16</c:v>
                </c:pt>
              </c:numCache>
            </c:numRef>
          </c:val>
          <c:extLst xmlns:c15="http://schemas.microsoft.com/office/drawing/2012/chart">
            <c:ext xmlns:c16="http://schemas.microsoft.com/office/drawing/2014/chart" uri="{C3380CC4-5D6E-409C-BE32-E72D297353CC}">
              <c16:uniqueId val="{00000005-C92E-42F9-AFB0-6934DD49898B}"/>
            </c:ext>
          </c:extLst>
        </c:ser>
        <c:ser>
          <c:idx val="6"/>
          <c:order val="6"/>
          <c:tx>
            <c:strRef>
              <c:f>'PC2.01_Ind05'!$B$20</c:f>
              <c:strCache>
                <c:ptCount val="1"/>
                <c:pt idx="0">
                  <c:v>Paleobiologia i Registre Fòssil</c:v>
                </c:pt>
              </c:strCache>
              <c:extLst xmlns:c15="http://schemas.microsoft.com/office/drawing/2012/chart"/>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'PC2.01_Ind05'!$C$20:$G$20</c15:sqref>
                  </c15:fullRef>
                </c:ext>
              </c:extLst>
              <c:f>'PC2.01_Ind05'!$C$20:$F$20</c:f>
              <c:numCache>
                <c:formatCode>General</c:formatCode>
                <c:ptCount val="4"/>
                <c:pt idx="0">
                  <c:v>0</c:v>
                </c:pt>
                <c:pt idx="1">
                  <c:v>5</c:v>
                </c:pt>
                <c:pt idx="2">
                  <c:v>4</c:v>
                </c:pt>
                <c:pt idx="3">
                  <c:v>0</c:v>
                </c:pt>
              </c:numCache>
            </c:numRef>
          </c:val>
          <c:extLst xmlns:c15="http://schemas.microsoft.com/office/drawing/2012/chart">
            <c:ext xmlns:c16="http://schemas.microsoft.com/office/drawing/2014/chart" uri="{C3380CC4-5D6E-409C-BE32-E72D297353CC}">
              <c16:uniqueId val="{00000006-C92E-42F9-AFB0-6934DD49898B}"/>
            </c:ext>
          </c:extLst>
        </c:ser>
        <c:ser>
          <c:idx val="7"/>
          <c:order val="7"/>
          <c:tx>
            <c:strRef>
              <c:f>'PC2.01_Ind05'!$B$21</c:f>
              <c:strCache>
                <c:ptCount val="1"/>
                <c:pt idx="0">
                  <c:v>Química Industrial i Introducció a la Recerca Química</c:v>
                </c:pt>
              </c:strCache>
              <c:extLst xmlns:c15="http://schemas.microsoft.com/office/drawing/2012/chart"/>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'PC2.01_Ind05'!$C$21:$G$21</c15:sqref>
                  </c15:fullRef>
                </c:ext>
              </c:extLst>
              <c:f>'PC2.01_Ind05'!$C$21:$F$21</c:f>
              <c:numCache>
                <c:formatCode>General</c:formatCode>
                <c:ptCount val="4"/>
                <c:pt idx="0">
                  <c:v>8</c:v>
                </c:pt>
                <c:pt idx="1">
                  <c:v>8</c:v>
                </c:pt>
                <c:pt idx="2">
                  <c:v>6</c:v>
                </c:pt>
                <c:pt idx="3">
                  <c:v>8</c:v>
                </c:pt>
              </c:numCache>
            </c:numRef>
          </c:val>
          <c:extLst xmlns:c15="http://schemas.microsoft.com/office/drawing/2012/chart">
            <c:ext xmlns:c16="http://schemas.microsoft.com/office/drawing/2014/chart" uri="{C3380CC4-5D6E-409C-BE32-E72D297353CC}">
              <c16:uniqueId val="{00000007-C92E-42F9-AFB0-6934DD49898B}"/>
            </c:ext>
          </c:extLst>
        </c:ser>
        <c:dLbls>
          <c:showLegendKey val="0"/>
          <c:showVal val="0"/>
          <c:showCatName val="0"/>
          <c:showSerName val="0"/>
          <c:showPercent val="0"/>
          <c:showBubbleSize val="0"/>
        </c:dLbls>
        <c:gapWidth val="100"/>
        <c:axId val="995948207"/>
        <c:axId val="646241247"/>
        <c:extLst/>
      </c:barChart>
      <c:lineChart>
        <c:grouping val="standard"/>
        <c:varyColors val="0"/>
        <c:ser>
          <c:idx val="8"/>
          <c:order val="8"/>
          <c:tx>
            <c:strRef>
              <c:f>'PC2.01_Ind05'!$B$25</c:f>
              <c:strCache>
                <c:ptCount val="1"/>
                <c:pt idx="0">
                  <c:v>Objectiu</c:v>
                </c:pt>
              </c:strCache>
            </c:strRef>
          </c:tx>
          <c:spPr>
            <a:ln w="34925" cap="rnd">
              <a:solidFill>
                <a:schemeClr val="accent3">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w="9525">
                <a:solidFill>
                  <a:schemeClr val="accent3">
                    <a:lumMod val="60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'PC2.01_Ind05'!$C$14:$F$14</c15:sqref>
                  </c15:fullRef>
                </c:ext>
              </c:extLst>
              <c:f>'PC2.01_Ind05'!$C$14:$F$14</c:f>
              <c:strCache>
                <c:ptCount val="4"/>
                <c:pt idx="0">
                  <c:v>2018/2019</c:v>
                </c:pt>
                <c:pt idx="1">
                  <c:v>2019/2020</c:v>
                </c:pt>
                <c:pt idx="2">
                  <c:v>2020/2021</c:v>
                </c:pt>
                <c:pt idx="3">
                  <c:v>2021/2022</c:v>
                </c:pt>
              </c:strCache>
            </c:strRef>
          </c:cat>
          <c:val>
            <c:numRef>
              <c:extLst>
                <c:ext xmlns:c15="http://schemas.microsoft.com/office/drawing/2012/chart" uri="{02D57815-91ED-43cb-92C2-25804820EDAC}">
                  <c15:fullRef>
                    <c15:sqref>'PC2.01_Ind05'!$C$25:$F$25</c15:sqref>
                  </c15:fullRef>
                </c:ext>
              </c:extLst>
              <c:f>'PC2.01_Ind05'!$C$25:$F$25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8-C92E-42F9-AFB0-6934DD49898B}"/>
            </c:ext>
          </c:extLst>
        </c:ser>
        <c:dLbls>
          <c:showLegendKey val="0"/>
          <c:showVal val="0"/>
          <c:showCatName val="0"/>
          <c:showSerName val="0"/>
          <c:showPercent val="0"/>
          <c:showBubbleSize val="0"/>
        </c:dLbls>
        <c:marker val="1"/>
        <c:smooth val="0"/>
        <c:axId val="995948207"/>
        <c:axId val="646241247"/>
      </c:lineChart>
      <c:catAx>
        <c:axId val="99594820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6241247"/>
        <c:crosses val="autoZero"/>
        <c:auto val="1"/>
        <c:lblAlgn val="ctr"/>
        <c:lblOffset val="100"/>
        <c:noMultiLvlLbl val="0"/>
      </c:catAx>
      <c:valAx>
        <c:axId val="646241247"/>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995948207"/>
        <c:crosses val="autoZero"/>
        <c:crossBetween val="between"/>
      </c:valAx>
      <c:spPr>
        <a:noFill/>
        <a:ln>
          <a:noFill/>
        </a:ln>
        <a:effectLst/>
      </c:spPr>
    </c:plotArea>
    <c:legend>
      <c:legendPos val="r"/>
      <c:legendEntry>
        <c:idx val="0"/>
        <c:delete val="1"/>
      </c:legendEntry>
      <c:layout>
        <c:manualLayout>
          <c:xMode val="edge"/>
          <c:yMode val="edge"/>
          <c:x val="0.76161111111111102"/>
          <c:y val="1.4273039215686277E-2"/>
          <c:w val="0.23321822222222222"/>
          <c:h val="0.475234477124182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PC2.02_Ind01.</a:t>
            </a:r>
            <a:r>
              <a:rPr lang="ca-ES" sz="1200">
                <a:effectLst/>
              </a:rPr>
              <a:t> </a:t>
            </a:r>
            <a:r>
              <a:rPr lang="ca-ES" sz="1200" b="1">
                <a:effectLst/>
              </a:rPr>
              <a:t>Grau de satisfacció dels/de les estudiants amb el TFE, segons les enquestes d’avaluació corresponents</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'PC2.02_Ind01'!$B$13</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'PC2.02_Ind01'!$D$13:$J$13</c:f>
              <c:strCache>
                <c:ptCount val="6"/>
                <c:pt idx="0">
                  <c:v>2017/2018</c:v>
                </c:pt>
                <c:pt idx="1">
                  <c:v>2018/2019</c:v>
                </c:pt>
                <c:pt idx="2">
                  <c:v>2019/2020</c:v>
                </c:pt>
                <c:pt idx="3">
                  <c:v>2020/2021</c:v>
                </c:pt>
                <c:pt idx="4">
                  <c:v>2021/2022</c:v>
                </c:pt>
                <c:pt idx="5">
                  <c:v>2022/2023</c:v>
                </c:pt>
              </c:strCache>
            </c:strRef>
          </c:cat>
          <c:val>
            <c:numRef>
              <c:f>'PC2.02_Ind01'!$D$13:$H$13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D00E-408E-BB8A-8532D7696CC7}"/>
            </c:ext>
          </c:extLst>
        </c:ser>
        <c:ser>
          <c:idx val="1"/>
          <c:order val="1"/>
          <c:tx>
            <c:strRef>
              <c:f>'PC2.02_Ind01'!$B$32</c:f>
              <c:strCache>
                <c:ptCount val="1"/>
                <c:pt idx="0">
                  <c:v>Valoració mitjana a l’afirmació “El treball de fi d’estudis m’ha estat útil per consolidar les competències de la titulació”
(Graus)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1">
                  <a:lumMod val="75000"/>
                </a:schemeClr>
              </a:solidFill>
              <a:ln>
                <a:solidFill>
                  <a:schemeClr val="accent6">
                    <a:lumMod val="7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D00E-408E-BB8A-8532D7696CC7}"/>
              </c:ext>
            </c:extLst>
          </c:dPt>
          <c:dPt>
            <c:idx val="1"/>
            <c:invertIfNegative val="0"/>
            <c:bubble3D val="0"/>
            <c:spPr>
              <a:solidFill>
                <a:schemeClr val="accent1">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D00E-408E-BB8A-8532D7696CC7}"/>
              </c:ext>
            </c:extLst>
          </c:dPt>
          <c:dPt>
            <c:idx val="2"/>
            <c:invertIfNegative val="0"/>
            <c:bubble3D val="0"/>
            <c:spPr>
              <a:solidFill>
                <a:schemeClr val="accent1">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D00E-408E-BB8A-8532D7696CC7}"/>
              </c:ext>
            </c:extLst>
          </c:dPt>
          <c:dPt>
            <c:idx val="3"/>
            <c:invertIfNegative val="0"/>
            <c:bubble3D val="0"/>
            <c:spPr>
              <a:solidFill>
                <a:schemeClr val="accent1">
                  <a:lumMod val="75000"/>
                </a:schemeClr>
              </a:solidFill>
              <a:ln>
                <a:solidFill>
                  <a:schemeClr val="accent6">
                    <a:lumMod val="7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D00E-408E-BB8A-8532D7696CC7}"/>
              </c:ext>
            </c:extLst>
          </c:dPt>
          <c:dPt>
            <c:idx val="4"/>
            <c:invertIfNegative val="0"/>
            <c:bubble3D val="0"/>
            <c:spPr>
              <a:solidFill>
                <a:schemeClr val="accent1">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D00E-408E-BB8A-8532D7696CC7}"/>
              </c:ext>
            </c:extLst>
          </c:dPt>
          <c:dPt>
            <c:idx val="5"/>
            <c:invertIfNegative val="0"/>
            <c:bubble3D val="0"/>
            <c:spPr>
              <a:solidFill>
                <a:schemeClr val="accent1">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A-F9DB-4722-8695-39E0B81DEF04}"/>
              </c:ext>
            </c:extLst>
          </c:dPt>
          <c:cat>
            <c:strRef>
              <c:f>'PC2.02_Ind01'!$D$13:$J$13</c:f>
              <c:strCache>
                <c:ptCount val="6"/>
                <c:pt idx="0">
                  <c:v>2017/2018</c:v>
                </c:pt>
                <c:pt idx="1">
                  <c:v>2018/2019</c:v>
                </c:pt>
                <c:pt idx="2">
                  <c:v>2019/2020</c:v>
                </c:pt>
                <c:pt idx="3">
                  <c:v>2020/2021</c:v>
                </c:pt>
                <c:pt idx="4">
                  <c:v>2021/2022</c:v>
                </c:pt>
                <c:pt idx="5">
                  <c:v>2022/2023</c:v>
                </c:pt>
              </c:strCache>
            </c:strRef>
          </c:cat>
          <c:val>
            <c:numRef>
              <c:f>'PC2.02_Ind01'!$D$32:$J$32</c:f>
              <c:numCache>
                <c:formatCode>0.00</c:formatCode>
                <c:ptCount val="7"/>
                <c:pt idx="0">
                  <c:v>3.9</c:v>
                </c:pt>
                <c:pt idx="1">
                  <c:v>3.95</c:v>
                </c:pt>
                <c:pt idx="2">
                  <c:v>3.91</c:v>
                </c:pt>
                <c:pt idx="3">
                  <c:v>3.7</c:v>
                </c:pt>
                <c:pt idx="4">
                  <c:v>4.08</c:v>
                </c:pt>
                <c:pt idx="5">
                  <c:v>4.0599999999999996</c:v>
                </c:pt>
              </c:numCache>
            </c:numRef>
          </c:val>
          <c:extLst>
            <c:ext xmlns:c16="http://schemas.microsoft.com/office/drawing/2014/chart" uri="{C3380CC4-5D6E-409C-BE32-E72D297353CC}">
              <c16:uniqueId val="{00000002-D00E-408E-BB8A-8532D7696CC7}"/>
            </c:ext>
          </c:extLst>
        </c:ser>
        <c:dLbls>
          <c:showLegendKey val="0"/>
          <c:showVal val="0"/>
          <c:showCatName val="0"/>
          <c:showSerName val="0"/>
          <c:showPercent val="0"/>
          <c:showBubbleSize val="0"/>
        </c:dLbls>
        <c:gapWidth val="219"/>
        <c:axId val="1499667296"/>
        <c:axId val="1265994160"/>
      </c:barChart>
      <c:lineChart>
        <c:grouping val="standard"/>
        <c:varyColors val="0"/>
        <c:ser>
          <c:idx val="2"/>
          <c:order val="2"/>
          <c:tx>
            <c:strRef>
              <c:f>'PC2.02_Ind01'!$B$36</c:f>
              <c:strCache>
                <c:ptCount val="1"/>
                <c:pt idx="0">
                  <c:v>Valor objectiu</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val>
            <c:numRef>
              <c:f>'PC2.02_Ind01'!$D$36:$J$36</c:f>
              <c:numCache>
                <c:formatCode>General</c:formatCode>
                <c:ptCount val="7"/>
                <c:pt idx="0">
                  <c:v>3.5</c:v>
                </c:pt>
                <c:pt idx="1">
                  <c:v>3.5</c:v>
                </c:pt>
                <c:pt idx="2">
                  <c:v>3.5</c:v>
                </c:pt>
                <c:pt idx="3">
                  <c:v>3.5</c:v>
                </c:pt>
                <c:pt idx="4">
                  <c:v>3.5</c:v>
                </c:pt>
                <c:pt idx="5">
                  <c:v>3.5</c:v>
                </c:pt>
              </c:numCache>
            </c:numRef>
          </c:val>
          <c:smooth val="0"/>
          <c:extLst>
            <c:ext xmlns:c16="http://schemas.microsoft.com/office/drawing/2014/chart" uri="{C3380CC4-5D6E-409C-BE32-E72D297353CC}">
              <c16:uniqueId val="{00000003-D00E-408E-BB8A-8532D7696CC7}"/>
            </c:ext>
          </c:extLst>
        </c:ser>
        <c:dLbls>
          <c:showLegendKey val="0"/>
          <c:showVal val="0"/>
          <c:showCatName val="0"/>
          <c:showSerName val="0"/>
          <c:showPercent val="0"/>
          <c:showBubbleSize val="0"/>
        </c:dLbls>
        <c:marker val="1"/>
        <c:smooth val="0"/>
        <c:axId val="1499667296"/>
        <c:axId val="1265994160"/>
      </c:lineChart>
      <c:catAx>
        <c:axId val="1499667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65994160"/>
        <c:crosses val="autoZero"/>
        <c:auto val="1"/>
        <c:lblAlgn val="ctr"/>
        <c:lblOffset val="100"/>
        <c:noMultiLvlLbl val="0"/>
      </c:catAx>
      <c:valAx>
        <c:axId val="1265994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99667296"/>
        <c:crosses val="autoZero"/>
        <c:crossBetween val="between"/>
      </c:valAx>
      <c:spPr>
        <a:noFill/>
        <a:ln>
          <a:noFill/>
        </a:ln>
        <a:effectLst/>
      </c:spPr>
    </c:plotArea>
    <c:legend>
      <c:legendPos val="r"/>
      <c:legendEntry>
        <c:idx val="0"/>
        <c:delete val="1"/>
      </c:legendEntry>
      <c:layout>
        <c:manualLayout>
          <c:xMode val="edge"/>
          <c:yMode val="edge"/>
          <c:x val="0.71806368891402061"/>
          <c:y val="0.20253260009165525"/>
          <c:w val="0.27043379577872789"/>
          <c:h val="0.493373744948548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PC2.03_Ind01. Nombre mínim d’entitats col·laboradores en el marc de PE, per curs acadèmic i titulació</a:t>
            </a:r>
          </a:p>
          <a:p>
            <a:pPr>
              <a:defRPr/>
            </a:pPr>
            <a:endParaRPr lang="ca-ES" sz="9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2.2755142896809133E-2"/>
          <c:y val="6.581926524575353E-2"/>
          <c:w val="0.92000530206592157"/>
          <c:h val="0.75187910211793729"/>
        </c:manualLayout>
      </c:layout>
      <c:barChart>
        <c:barDir val="col"/>
        <c:grouping val="clustered"/>
        <c:varyColors val="0"/>
        <c:ser>
          <c:idx val="0"/>
          <c:order val="0"/>
          <c:tx>
            <c:strRef>
              <c:f>'PC2.03_Ind01'!$B$15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'PC2.03_Ind01'!$D$15:$J$15</c15:sqref>
                  </c15:fullRef>
                </c:ext>
              </c:extLst>
              <c:f>'PC2.03_Ind01'!$G$15:$J$15</c:f>
              <c:numCache>
                <c:formatCode>0</c:formatCode>
                <c:ptCount val="4"/>
                <c:pt idx="0">
                  <c:v>34</c:v>
                </c:pt>
                <c:pt idx="1">
                  <c:v>32</c:v>
                </c:pt>
                <c:pt idx="2">
                  <c:v>38</c:v>
                </c:pt>
                <c:pt idx="3" formatCode="General">
                  <c:v>21</c:v>
                </c:pt>
              </c:numCache>
            </c:numRef>
          </c:val>
          <c:extLst>
            <c:ext xmlns:c16="http://schemas.microsoft.com/office/drawing/2014/chart" uri="{C3380CC4-5D6E-409C-BE32-E72D297353CC}">
              <c16:uniqueId val="{00000000-1071-4BC3-9ECB-21ABE39B4475}"/>
            </c:ext>
          </c:extLst>
        </c:ser>
        <c:ser>
          <c:idx val="1"/>
          <c:order val="1"/>
          <c:tx>
            <c:strRef>
              <c:f>'PC2.03_Ind01'!$B$16</c:f>
              <c:strCache>
                <c:ptCount val="1"/>
                <c:pt idx="0">
                  <c:v>Estadística Aplicada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'PC2.03_Ind01'!$D$16:$J$16</c15:sqref>
                  </c15:fullRef>
                </c:ext>
              </c:extLst>
              <c:f>'PC2.03_Ind01'!$G$16:$J$16</c:f>
              <c:numCache>
                <c:formatCode>0</c:formatCode>
                <c:ptCount val="4"/>
                <c:pt idx="0">
                  <c:v>19</c:v>
                </c:pt>
                <c:pt idx="1">
                  <c:v>13</c:v>
                </c:pt>
                <c:pt idx="2">
                  <c:v>24</c:v>
                </c:pt>
                <c:pt idx="3" formatCode="General">
                  <c:v>21</c:v>
                </c:pt>
              </c:numCache>
            </c:numRef>
          </c:val>
          <c:extLst>
            <c:ext xmlns:c16="http://schemas.microsoft.com/office/drawing/2014/chart" uri="{C3380CC4-5D6E-409C-BE32-E72D297353CC}">
              <c16:uniqueId val="{00000001-1071-4BC3-9ECB-21ABE39B4475}"/>
            </c:ext>
          </c:extLst>
        </c:ser>
        <c:ser>
          <c:idx val="2"/>
          <c:order val="2"/>
          <c:tx>
            <c:strRef>
              <c:f>'PC2.03_Ind01'!$B$17</c:f>
              <c:strCache>
                <c:ptCount val="1"/>
                <c:pt idx="0">
                  <c:v>Física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'PC2.03_Ind01'!$D$17:$J$17</c15:sqref>
                  </c15:fullRef>
                </c:ext>
              </c:extLst>
              <c:f>'PC2.03_Ind01'!$G$17:$J$17</c:f>
              <c:numCache>
                <c:formatCode>0</c:formatCode>
                <c:ptCount val="4"/>
                <c:pt idx="0">
                  <c:v>29</c:v>
                </c:pt>
                <c:pt idx="1">
                  <c:v>25</c:v>
                </c:pt>
                <c:pt idx="2">
                  <c:v>31</c:v>
                </c:pt>
                <c:pt idx="3" formatCode="General">
                  <c:v>27</c:v>
                </c:pt>
              </c:numCache>
            </c:numRef>
          </c:val>
          <c:extLst>
            <c:ext xmlns:c16="http://schemas.microsoft.com/office/drawing/2014/chart" uri="{C3380CC4-5D6E-409C-BE32-E72D297353CC}">
              <c16:uniqueId val="{00000002-1071-4BC3-9ECB-21ABE39B4475}"/>
            </c:ext>
          </c:extLst>
        </c:ser>
        <c:ser>
          <c:idx val="3"/>
          <c:order val="3"/>
          <c:tx>
            <c:strRef>
              <c:f>'PC2.03_Ind01'!$B$18</c:f>
              <c:strCache>
                <c:ptCount val="1"/>
                <c:pt idx="0">
                  <c:v>Geologia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'PC2.03_Ind01'!$D$18:$J$18</c15:sqref>
                  </c15:fullRef>
                </c:ext>
              </c:extLst>
              <c:f>'PC2.03_Ind01'!$G$18:$J$18</c:f>
              <c:numCache>
                <c:formatCode>0</c:formatCode>
                <c:ptCount val="4"/>
                <c:pt idx="0">
                  <c:v>28</c:v>
                </c:pt>
                <c:pt idx="1">
                  <c:v>26</c:v>
                </c:pt>
                <c:pt idx="2">
                  <c:v>23</c:v>
                </c:pt>
                <c:pt idx="3" formatCode="General">
                  <c:v>27</c:v>
                </c:pt>
              </c:numCache>
            </c:numRef>
          </c:val>
          <c:extLst>
            <c:ext xmlns:c16="http://schemas.microsoft.com/office/drawing/2014/chart" uri="{C3380CC4-5D6E-409C-BE32-E72D297353CC}">
              <c16:uniqueId val="{00000004-1071-4BC3-9ECB-21ABE39B4475}"/>
            </c:ext>
          </c:extLst>
        </c:ser>
        <c:ser>
          <c:idx val="4"/>
          <c:order val="4"/>
          <c:tx>
            <c:strRef>
              <c:f>'PC2.03_Ind01'!$B$19</c:f>
              <c:strCache>
                <c:ptCount val="1"/>
                <c:pt idx="0">
                  <c:v>Matemàtica Computacional i Analítica de Dades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'PC2.03_Ind01'!$D$19:$J$19</c15:sqref>
                  </c15:fullRef>
                </c:ext>
              </c:extLst>
              <c:f>'PC2.03_Ind01'!$G$19:$J$19</c:f>
              <c:numCache>
                <c:formatCode>0</c:formatCode>
                <c:ptCount val="4"/>
                <c:pt idx="0">
                  <c:v>0</c:v>
                </c:pt>
                <c:pt idx="1">
                  <c:v>11</c:v>
                </c:pt>
                <c:pt idx="2">
                  <c:v>21</c:v>
                </c:pt>
                <c:pt idx="3" formatCode="General">
                  <c:v>37</c:v>
                </c:pt>
              </c:numCache>
            </c:numRef>
          </c:val>
          <c:extLst>
            <c:ext xmlns:c16="http://schemas.microsoft.com/office/drawing/2014/chart" uri="{C3380CC4-5D6E-409C-BE32-E72D297353CC}">
              <c16:uniqueId val="{00000005-1071-4BC3-9ECB-21ABE39B4475}"/>
            </c:ext>
          </c:extLst>
        </c:ser>
        <c:ser>
          <c:idx val="5"/>
          <c:order val="5"/>
          <c:tx>
            <c:strRef>
              <c:f>'PC2.03_Ind01'!$B$20</c:f>
              <c:strCache>
                <c:ptCount val="1"/>
                <c:pt idx="0">
                  <c:v>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'PC2.03_Ind01'!$D$20:$J$20</c15:sqref>
                  </c15:fullRef>
                </c:ext>
              </c:extLst>
              <c:f>'PC2.03_Ind01'!$G$20:$J$20</c:f>
              <c:numCache>
                <c:formatCode>0</c:formatCode>
                <c:ptCount val="4"/>
                <c:pt idx="0">
                  <c:v>30</c:v>
                </c:pt>
                <c:pt idx="1">
                  <c:v>37</c:v>
                </c:pt>
                <c:pt idx="2">
                  <c:v>26</c:v>
                </c:pt>
                <c:pt idx="3" formatCode="General">
                  <c:v>32</c:v>
                </c:pt>
              </c:numCache>
            </c:numRef>
          </c:val>
          <c:extLst>
            <c:ext xmlns:c16="http://schemas.microsoft.com/office/drawing/2014/chart" uri="{C3380CC4-5D6E-409C-BE32-E72D297353CC}">
              <c16:uniqueId val="{00000006-1071-4BC3-9ECB-21ABE39B4475}"/>
            </c:ext>
          </c:extLst>
        </c:ser>
        <c:ser>
          <c:idx val="6"/>
          <c:order val="6"/>
          <c:tx>
            <c:strRef>
              <c:f>'PC2.03_Ind01'!$B$21</c:f>
              <c:strCache>
                <c:ptCount val="1"/>
                <c:pt idx="0">
                  <c:v>Nanociència i Nanotecnologia   </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'PC2.03_Ind01'!$D$21:$J$21</c15:sqref>
                  </c15:fullRef>
                </c:ext>
              </c:extLst>
              <c:f>'PC2.03_Ind01'!$G$21:$J$21</c:f>
              <c:numCache>
                <c:formatCode>0</c:formatCode>
                <c:ptCount val="4"/>
                <c:pt idx="0">
                  <c:v>19</c:v>
                </c:pt>
                <c:pt idx="1">
                  <c:v>12</c:v>
                </c:pt>
                <c:pt idx="2">
                  <c:v>18</c:v>
                </c:pt>
                <c:pt idx="3" formatCode="General">
                  <c:v>21</c:v>
                </c:pt>
              </c:numCache>
            </c:numRef>
          </c:val>
          <c:extLst>
            <c:ext xmlns:c16="http://schemas.microsoft.com/office/drawing/2014/chart" uri="{C3380CC4-5D6E-409C-BE32-E72D297353CC}">
              <c16:uniqueId val="{00000007-1071-4BC3-9ECB-21ABE39B4475}"/>
            </c:ext>
          </c:extLst>
        </c:ser>
        <c:ser>
          <c:idx val="7"/>
          <c:order val="7"/>
          <c:tx>
            <c:strRef>
              <c:f>'PC2.03_Ind01'!$B$22</c:f>
              <c:strCache>
                <c:ptCount val="1"/>
                <c:pt idx="0">
                  <c:v>Química  </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'PC2.03_Ind01'!$D$22:$J$22</c15:sqref>
                  </c15:fullRef>
                </c:ext>
              </c:extLst>
              <c:f>'PC2.03_Ind01'!$G$22:$J$22</c:f>
              <c:numCache>
                <c:formatCode>0</c:formatCode>
                <c:ptCount val="4"/>
                <c:pt idx="0">
                  <c:v>31</c:v>
                </c:pt>
                <c:pt idx="1">
                  <c:v>32</c:v>
                </c:pt>
                <c:pt idx="2">
                  <c:v>44</c:v>
                </c:pt>
                <c:pt idx="3" formatCode="General">
                  <c:v>38</c:v>
                </c:pt>
              </c:numCache>
            </c:numRef>
          </c:val>
          <c:extLst>
            <c:ext xmlns:c16="http://schemas.microsoft.com/office/drawing/2014/chart" uri="{C3380CC4-5D6E-409C-BE32-E72D297353CC}">
              <c16:uniqueId val="{00000008-1071-4BC3-9ECB-21ABE39B4475}"/>
            </c:ext>
          </c:extLst>
        </c:ser>
        <c:dLbls>
          <c:showLegendKey val="0"/>
          <c:showVal val="0"/>
          <c:showCatName val="0"/>
          <c:showSerName val="0"/>
          <c:showPercent val="0"/>
          <c:showBubbleSize val="0"/>
        </c:dLbls>
        <c:gapWidth val="150"/>
        <c:axId val="2063723168"/>
        <c:axId val="1722346640"/>
      </c:barChart>
      <c:lineChart>
        <c:grouping val="standard"/>
        <c:varyColors val="0"/>
        <c:ser>
          <c:idx val="8"/>
          <c:order val="8"/>
          <c:tx>
            <c:strRef>
              <c:f>'PC2.03_Ind01'!$B$23</c:f>
              <c:strCache>
                <c:ptCount val="1"/>
                <c:pt idx="0">
                  <c:v>Valor 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rgbClr val="F1960F"/>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'PC2.03_Ind01'!$D$23:$J$23</c15:sqref>
                  </c15:fullRef>
                </c:ext>
              </c:extLst>
              <c:f>'PC2.03_Ind01'!$G$23:$J$23</c:f>
              <c:numCache>
                <c:formatCode>0</c:formatCode>
                <c:ptCount val="4"/>
                <c:pt idx="0">
                  <c:v>10</c:v>
                </c:pt>
                <c:pt idx="1">
                  <c:v>10</c:v>
                </c:pt>
                <c:pt idx="2">
                  <c:v>10</c:v>
                </c:pt>
                <c:pt idx="3" formatCode="General">
                  <c:v>10</c:v>
                </c:pt>
              </c:numCache>
            </c:numRef>
          </c:val>
          <c:smooth val="0"/>
          <c:extLst>
            <c:ext xmlns:c16="http://schemas.microsoft.com/office/drawing/2014/chart" uri="{C3380CC4-5D6E-409C-BE32-E72D297353CC}">
              <c16:uniqueId val="{0000000A-1071-4BC3-9ECB-21ABE39B4475}"/>
            </c:ext>
          </c:extLst>
        </c:ser>
        <c:dLbls>
          <c:showLegendKey val="0"/>
          <c:showVal val="0"/>
          <c:showCatName val="0"/>
          <c:showSerName val="0"/>
          <c:showPercent val="0"/>
          <c:showBubbleSize val="0"/>
        </c:dLbls>
        <c:marker val="1"/>
        <c:smooth val="0"/>
        <c:axId val="2063723168"/>
        <c:axId val="1722346640"/>
      </c:lineChart>
      <c:catAx>
        <c:axId val="20637231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22346640"/>
        <c:crosses val="autoZero"/>
        <c:auto val="1"/>
        <c:lblAlgn val="ctr"/>
        <c:lblOffset val="100"/>
        <c:noMultiLvlLbl val="0"/>
      </c:catAx>
      <c:valAx>
        <c:axId val="1722346640"/>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63723168"/>
        <c:crosses val="autoZero"/>
        <c:crossBetween val="between"/>
      </c:valAx>
      <c:spPr>
        <a:noFill/>
        <a:ln>
          <a:noFill/>
        </a:ln>
        <a:effectLst/>
      </c:spPr>
    </c:plotArea>
    <c:legend>
      <c:legendPos val="b"/>
      <c:layout>
        <c:manualLayout>
          <c:xMode val="edge"/>
          <c:yMode val="edge"/>
          <c:x val="2.7984508267870745E-2"/>
          <c:y val="0.88759731569111489"/>
          <c:w val="0.82913744968813485"/>
          <c:h val="0.100074008224241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rgbClr val="FFFFFF">
                    <a:lumMod val="95000"/>
                  </a:srgbClr>
                </a:solidFill>
                <a:effectLst>
                  <a:outerShdw blurRad="50800" dist="38100" dir="5400000" algn="t" rotWithShape="0">
                    <a:prstClr val="black">
                      <a:alpha val="40000"/>
                    </a:prstClr>
                  </a:outerShdw>
                </a:effectLst>
                <a:latin typeface="+mn-lt"/>
                <a:ea typeface="+mn-ea"/>
                <a:cs typeface="+mn-cs"/>
              </a:defRPr>
            </a:pPr>
            <a:r>
              <a:rPr lang="ca-ES" sz="1200" b="1">
                <a:effectLst/>
              </a:rPr>
              <a:t>PC2.03_Ind02. Grau</a:t>
            </a:r>
            <a:r>
              <a:rPr lang="ca-ES" sz="1200" b="1" baseline="0">
                <a:effectLst/>
              </a:rPr>
              <a:t> de satisfacció dels/de les participants en programes de Pràctiques Externes (Graus). Enquesta titulats </a:t>
            </a:r>
            <a:endParaRPr lang="ca-ES"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FFFFFF">
                    <a:lumMod val="95000"/>
                  </a:srgbClr>
                </a:solidFill>
              </a:defRPr>
            </a:pPr>
            <a:endParaRPr lang="ca-E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rgbClr val="FFFFFF">
                  <a:lumMod val="95000"/>
                </a:srgb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2.5545051844326344E-2"/>
          <c:y val="0.17359630689915942"/>
          <c:w val="0.97445490445934435"/>
          <c:h val="0.62054408879363454"/>
        </c:manualLayout>
      </c:layout>
      <c:barChart>
        <c:barDir val="col"/>
        <c:grouping val="clustered"/>
        <c:varyColors val="0"/>
        <c:ser>
          <c:idx val="0"/>
          <c:order val="0"/>
          <c:tx>
            <c:strRef>
              <c:f>'PC2.03_Ind02'!$B$15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'PC2.03_Ind02'!$D$15:$I$15</c15:sqref>
                  </c15:fullRef>
                </c:ext>
              </c:extLst>
              <c:f>'PC2.03_Ind02'!$F$15:$I$15</c:f>
              <c:numCache>
                <c:formatCode>0.00</c:formatCode>
                <c:ptCount val="4"/>
                <c:pt idx="0">
                  <c:v>3.75</c:v>
                </c:pt>
                <c:pt idx="1">
                  <c:v>3.5</c:v>
                </c:pt>
                <c:pt idx="2">
                  <c:v>3.56</c:v>
                </c:pt>
                <c:pt idx="3">
                  <c:v>3.77</c:v>
                </c:pt>
              </c:numCache>
            </c:numRef>
          </c:val>
          <c:extLst>
            <c:ext xmlns:c16="http://schemas.microsoft.com/office/drawing/2014/chart" uri="{C3380CC4-5D6E-409C-BE32-E72D297353CC}">
              <c16:uniqueId val="{00000000-C7A2-44F0-8F2B-0D6B88164076}"/>
            </c:ext>
          </c:extLst>
        </c:ser>
        <c:ser>
          <c:idx val="1"/>
          <c:order val="1"/>
          <c:tx>
            <c:strRef>
              <c:f>'PC2.03_Ind02'!$B$16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'PC2.03_Ind02'!$D$16:$I$16</c15:sqref>
                  </c15:fullRef>
                </c:ext>
              </c:extLst>
              <c:f>'PC2.03_Ind02'!$F$16:$I$16</c:f>
              <c:numCache>
                <c:formatCode>0.00</c:formatCode>
                <c:ptCount val="4"/>
                <c:pt idx="0">
                  <c:v>4.4000000000000004</c:v>
                </c:pt>
                <c:pt idx="1">
                  <c:v>3</c:v>
                </c:pt>
                <c:pt idx="2">
                  <c:v>3.71</c:v>
                </c:pt>
                <c:pt idx="3">
                  <c:v>3.43</c:v>
                </c:pt>
              </c:numCache>
            </c:numRef>
          </c:val>
          <c:extLst>
            <c:ext xmlns:c16="http://schemas.microsoft.com/office/drawing/2014/chart" uri="{C3380CC4-5D6E-409C-BE32-E72D297353CC}">
              <c16:uniqueId val="{00000001-C7A2-44F0-8F2B-0D6B88164076}"/>
            </c:ext>
          </c:extLst>
        </c:ser>
        <c:ser>
          <c:idx val="2"/>
          <c:order val="2"/>
          <c:tx>
            <c:strRef>
              <c:f>'PC2.03_Ind02'!$B$17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'PC2.03_Ind02'!$D$17:$I$17</c15:sqref>
                  </c15:fullRef>
                </c:ext>
              </c:extLst>
              <c:f>'PC2.03_Ind02'!$F$17:$I$17</c:f>
              <c:numCache>
                <c:formatCode>0.00</c:formatCode>
                <c:ptCount val="4"/>
                <c:pt idx="0">
                  <c:v>4</c:v>
                </c:pt>
                <c:pt idx="1">
                  <c:v>3</c:v>
                </c:pt>
                <c:pt idx="2">
                  <c:v>4.17</c:v>
                </c:pt>
                <c:pt idx="3">
                  <c:v>3.78</c:v>
                </c:pt>
              </c:numCache>
            </c:numRef>
          </c:val>
          <c:extLst>
            <c:ext xmlns:c16="http://schemas.microsoft.com/office/drawing/2014/chart" uri="{C3380CC4-5D6E-409C-BE32-E72D297353CC}">
              <c16:uniqueId val="{00000002-C7A2-44F0-8F2B-0D6B88164076}"/>
            </c:ext>
          </c:extLst>
        </c:ser>
        <c:ser>
          <c:idx val="3"/>
          <c:order val="3"/>
          <c:tx>
            <c:strRef>
              <c:f>'PC2.03_Ind02'!$B$18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'PC2.03_Ind02'!$D$18:$I$18</c15:sqref>
                  </c15:fullRef>
                </c:ext>
              </c:extLst>
              <c:f>'PC2.03_Ind02'!$F$18:$I$18</c:f>
              <c:numCache>
                <c:formatCode>0.00</c:formatCode>
                <c:ptCount val="4"/>
                <c:pt idx="0">
                  <c:v>0</c:v>
                </c:pt>
                <c:pt idx="1">
                  <c:v>5</c:v>
                </c:pt>
                <c:pt idx="2">
                  <c:v>3.27</c:v>
                </c:pt>
                <c:pt idx="3">
                  <c:v>3.07</c:v>
                </c:pt>
              </c:numCache>
            </c:numRef>
          </c:val>
          <c:extLst>
            <c:ext xmlns:c16="http://schemas.microsoft.com/office/drawing/2014/chart" uri="{C3380CC4-5D6E-409C-BE32-E72D297353CC}">
              <c16:uniqueId val="{00000003-C7A2-44F0-8F2B-0D6B88164076}"/>
            </c:ext>
          </c:extLst>
        </c:ser>
        <c:ser>
          <c:idx val="4"/>
          <c:order val="4"/>
          <c:tx>
            <c:strRef>
              <c:f>'PC2.03_Ind02'!$B$19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'PC2.03_Ind02'!$D$19:$I$19</c15:sqref>
                  </c15:fullRef>
                </c:ext>
              </c:extLst>
              <c:f>'PC2.03_Ind02'!$F$19:$I$19</c:f>
              <c:numCache>
                <c:formatCode>0.00</c:formatCode>
                <c:ptCount val="4"/>
                <c:pt idx="0">
                  <c:v>0</c:v>
                </c:pt>
                <c:pt idx="1">
                  <c:v>2</c:v>
                </c:pt>
                <c:pt idx="2">
                  <c:v>4</c:v>
                </c:pt>
                <c:pt idx="3">
                  <c:v>4.5</c:v>
                </c:pt>
              </c:numCache>
            </c:numRef>
          </c:val>
          <c:extLst>
            <c:ext xmlns:c16="http://schemas.microsoft.com/office/drawing/2014/chart" uri="{C3380CC4-5D6E-409C-BE32-E72D297353CC}">
              <c16:uniqueId val="{00000004-C7A2-44F0-8F2B-0D6B88164076}"/>
            </c:ext>
          </c:extLst>
        </c:ser>
        <c:ser>
          <c:idx val="5"/>
          <c:order val="5"/>
          <c:tx>
            <c:strRef>
              <c:f>'PC2.03_Ind02'!$B$20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'PC2.03_Ind02'!$D$20:$I$20</c15:sqref>
                  </c15:fullRef>
                </c:ext>
              </c:extLst>
              <c:f>'PC2.03_Ind02'!$F$20:$I$20</c:f>
              <c:numCache>
                <c:formatCode>0.00</c:formatCode>
                <c:ptCount val="4"/>
                <c:pt idx="0">
                  <c:v>0</c:v>
                </c:pt>
                <c:pt idx="1">
                  <c:v>0</c:v>
                </c:pt>
                <c:pt idx="2">
                  <c:v>3.8</c:v>
                </c:pt>
                <c:pt idx="3">
                  <c:v>2</c:v>
                </c:pt>
              </c:numCache>
            </c:numRef>
          </c:val>
          <c:extLst>
            <c:ext xmlns:c16="http://schemas.microsoft.com/office/drawing/2014/chart" uri="{C3380CC4-5D6E-409C-BE32-E72D297353CC}">
              <c16:uniqueId val="{00000005-C7A2-44F0-8F2B-0D6B88164076}"/>
            </c:ext>
          </c:extLst>
        </c:ser>
        <c:ser>
          <c:idx val="6"/>
          <c:order val="6"/>
          <c:tx>
            <c:strRef>
              <c:f>'PC2.03_Ind02'!$B$21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'PC2.03_Ind02'!$D$21:$I$21</c15:sqref>
                  </c15:fullRef>
                </c:ext>
              </c:extLst>
              <c:f>'PC2.03_Ind02'!$F$21:$I$21</c:f>
              <c:numCache>
                <c:formatCode>0.00</c:formatCode>
                <c:ptCount val="4"/>
                <c:pt idx="0">
                  <c:v>3.58</c:v>
                </c:pt>
                <c:pt idx="1">
                  <c:v>2.83</c:v>
                </c:pt>
                <c:pt idx="2">
                  <c:v>3.71</c:v>
                </c:pt>
                <c:pt idx="3">
                  <c:v>0</c:v>
                </c:pt>
              </c:numCache>
            </c:numRef>
          </c:val>
          <c:extLst>
            <c:ext xmlns:c16="http://schemas.microsoft.com/office/drawing/2014/chart" uri="{C3380CC4-5D6E-409C-BE32-E72D297353CC}">
              <c16:uniqueId val="{00000006-C7A2-44F0-8F2B-0D6B88164076}"/>
            </c:ext>
          </c:extLst>
        </c:ser>
        <c:ser>
          <c:idx val="7"/>
          <c:order val="7"/>
          <c:tx>
            <c:strRef>
              <c:f>'PC2.03_Ind02'!$B$22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'PC2.03_Ind02'!$D$22:$I$22</c15:sqref>
                  </c15:fullRef>
                </c:ext>
              </c:extLst>
              <c:f>'PC2.03_Ind02'!$F$22:$I$22</c:f>
              <c:numCache>
                <c:formatCode>0.00</c:formatCode>
                <c:ptCount val="4"/>
                <c:pt idx="0">
                  <c:v>0</c:v>
                </c:pt>
                <c:pt idx="1">
                  <c:v>0</c:v>
                </c:pt>
                <c:pt idx="2">
                  <c:v>4.4000000000000004</c:v>
                </c:pt>
                <c:pt idx="3">
                  <c:v>3.55</c:v>
                </c:pt>
              </c:numCache>
            </c:numRef>
          </c:val>
          <c:extLst>
            <c:ext xmlns:c16="http://schemas.microsoft.com/office/drawing/2014/chart" uri="{C3380CC4-5D6E-409C-BE32-E72D297353CC}">
              <c16:uniqueId val="{00000007-C7A2-44F0-8F2B-0D6B88164076}"/>
            </c:ext>
          </c:extLst>
        </c:ser>
        <c:ser>
          <c:idx val="8"/>
          <c:order val="8"/>
          <c:tx>
            <c:strRef>
              <c:f>'PC2.03_Ind02'!$B$23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'PC2.03_Ind02'!$D$23:$I$23</c15:sqref>
                  </c15:fullRef>
                </c:ext>
              </c:extLst>
              <c:f>'PC2.03_Ind02'!$F$23:$I$23</c:f>
              <c:numCache>
                <c:formatCode>0.00</c:formatCode>
                <c:ptCount val="4"/>
                <c:pt idx="0">
                  <c:v>2.91</c:v>
                </c:pt>
                <c:pt idx="1">
                  <c:v>2.5</c:v>
                </c:pt>
                <c:pt idx="2">
                  <c:v>3.27</c:v>
                </c:pt>
                <c:pt idx="3">
                  <c:v>3.5</c:v>
                </c:pt>
              </c:numCache>
            </c:numRef>
          </c:val>
          <c:extLst>
            <c:ext xmlns:c16="http://schemas.microsoft.com/office/drawing/2014/chart" uri="{C3380CC4-5D6E-409C-BE32-E72D297353CC}">
              <c16:uniqueId val="{00000008-C7A2-44F0-8F2B-0D6B88164076}"/>
            </c:ext>
          </c:extLst>
        </c:ser>
        <c:ser>
          <c:idx val="9"/>
          <c:order val="9"/>
          <c:tx>
            <c:strRef>
              <c:f>'PC2.03_Ind02'!$B$24</c:f>
              <c:strCache>
                <c:ptCount val="1"/>
                <c:pt idx="0">
                  <c:v>Nanociència i Nanotecnologia   </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'PC2.03_Ind02'!$D$24:$I$24</c15:sqref>
                  </c15:fullRef>
                </c:ext>
              </c:extLst>
              <c:f>'PC2.03_Ind02'!$F$24:$I$24</c:f>
              <c:numCache>
                <c:formatCode>0.00</c:formatCode>
                <c:ptCount val="4"/>
                <c:pt idx="0">
                  <c:v>3</c:v>
                </c:pt>
                <c:pt idx="1">
                  <c:v>2.25</c:v>
                </c:pt>
                <c:pt idx="2">
                  <c:v>3.67</c:v>
                </c:pt>
                <c:pt idx="3">
                  <c:v>3.64</c:v>
                </c:pt>
              </c:numCache>
            </c:numRef>
          </c:val>
          <c:extLst>
            <c:ext xmlns:c16="http://schemas.microsoft.com/office/drawing/2014/chart" uri="{C3380CC4-5D6E-409C-BE32-E72D297353CC}">
              <c16:uniqueId val="{00000009-C7A2-44F0-8F2B-0D6B88164076}"/>
            </c:ext>
          </c:extLst>
        </c:ser>
        <c:ser>
          <c:idx val="10"/>
          <c:order val="10"/>
          <c:tx>
            <c:strRef>
              <c:f>'PC2.03_Ind02'!$B$25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'PC2.03_Ind02'!$D$25:$I$25</c15:sqref>
                  </c15:fullRef>
                </c:ext>
              </c:extLst>
              <c:f>'PC2.03_Ind02'!$F$25:$I$25</c:f>
              <c:numCache>
                <c:formatCode>0.00</c:formatCode>
                <c:ptCount val="4"/>
                <c:pt idx="0">
                  <c:v>4.1500000000000004</c:v>
                </c:pt>
                <c:pt idx="1">
                  <c:v>2</c:v>
                </c:pt>
                <c:pt idx="2">
                  <c:v>3.29</c:v>
                </c:pt>
                <c:pt idx="3">
                  <c:v>3.73</c:v>
                </c:pt>
              </c:numCache>
            </c:numRef>
          </c:val>
          <c:extLst>
            <c:ext xmlns:c16="http://schemas.microsoft.com/office/drawing/2014/chart" uri="{C3380CC4-5D6E-409C-BE32-E72D297353CC}">
              <c16:uniqueId val="{0000000A-C7A2-44F0-8F2B-0D6B88164076}"/>
            </c:ext>
          </c:extLst>
        </c:ser>
        <c:dLbls>
          <c:showLegendKey val="0"/>
          <c:showVal val="0"/>
          <c:showCatName val="0"/>
          <c:showSerName val="0"/>
          <c:showPercent val="0"/>
          <c:showBubbleSize val="0"/>
        </c:dLbls>
        <c:gapWidth val="150"/>
        <c:axId val="2054746032"/>
        <c:axId val="2033922208"/>
      </c:barChart>
      <c:lineChart>
        <c:grouping val="standard"/>
        <c:varyColors val="0"/>
        <c:ser>
          <c:idx val="11"/>
          <c:order val="11"/>
          <c:tx>
            <c:strRef>
              <c:f>'PC2.03_Ind02'!$B$28</c:f>
              <c:strCache>
                <c:ptCount val="1"/>
                <c:pt idx="0">
                  <c:v>Valor objectiu</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solidFill>
                <a:srgbClr val="F1960F"/>
              </a:solidFill>
              <a:ln w="28575">
                <a:solidFill>
                  <a:srgbClr val="FFC00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'PC2.03_Ind02'!$D$28:$I$28</c15:sqref>
                  </c15:fullRef>
                </c:ext>
              </c:extLst>
              <c:f>'PC2.03_Ind02'!$F$28:$I$28</c:f>
              <c:numCache>
                <c:formatCode>0</c:formatCode>
                <c:ptCount val="4"/>
                <c:pt idx="0">
                  <c:v>3</c:v>
                </c:pt>
                <c:pt idx="1">
                  <c:v>3</c:v>
                </c:pt>
                <c:pt idx="2">
                  <c:v>3</c:v>
                </c:pt>
                <c:pt idx="3">
                  <c:v>3</c:v>
                </c:pt>
              </c:numCache>
            </c:numRef>
          </c:val>
          <c:smooth val="0"/>
          <c:extLst>
            <c:ext xmlns:c16="http://schemas.microsoft.com/office/drawing/2014/chart" uri="{C3380CC4-5D6E-409C-BE32-E72D297353CC}">
              <c16:uniqueId val="{0000000B-C7A2-44F0-8F2B-0D6B88164076}"/>
            </c:ext>
          </c:extLst>
        </c:ser>
        <c:dLbls>
          <c:showLegendKey val="0"/>
          <c:showVal val="0"/>
          <c:showCatName val="0"/>
          <c:showSerName val="0"/>
          <c:showPercent val="0"/>
          <c:showBubbleSize val="0"/>
        </c:dLbls>
        <c:marker val="1"/>
        <c:smooth val="0"/>
        <c:axId val="2054746032"/>
        <c:axId val="2033922208"/>
      </c:lineChart>
      <c:catAx>
        <c:axId val="2054746032"/>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33922208"/>
        <c:crosses val="autoZero"/>
        <c:auto val="1"/>
        <c:lblAlgn val="ctr"/>
        <c:lblOffset val="100"/>
        <c:noMultiLvlLbl val="0"/>
      </c:catAx>
      <c:valAx>
        <c:axId val="2033922208"/>
        <c:scaling>
          <c:orientation val="minMax"/>
          <c:max val="5"/>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54746032"/>
        <c:crosses val="autoZero"/>
        <c:crossBetween val="between"/>
      </c:valAx>
      <c:spPr>
        <a:noFill/>
        <a:ln>
          <a:noFill/>
        </a:ln>
        <a:effectLst/>
      </c:spPr>
    </c:plotArea>
    <c:legend>
      <c:legendPos val="b"/>
      <c:layout>
        <c:manualLayout>
          <c:xMode val="edge"/>
          <c:yMode val="edge"/>
          <c:x val="9.7841579552103083E-2"/>
          <c:y val="0.84460045961311447"/>
          <c:w val="0.78529311730331364"/>
          <c:h val="0.141747665699629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PC2.04_Ind01. Nombre de Comissions de Docència realitzades per curs i titulació.</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1.6934220258715511E-2"/>
          <c:y val="0.10372138219961796"/>
          <c:w val="0.77158045797559716"/>
          <c:h val="0.65335956188541477"/>
        </c:manualLayout>
      </c:layout>
      <c:barChart>
        <c:barDir val="col"/>
        <c:grouping val="clustered"/>
        <c:varyColors val="0"/>
        <c:ser>
          <c:idx val="0"/>
          <c:order val="0"/>
          <c:tx>
            <c:strRef>
              <c:f>'PC2.04_Ind01'!$B$14</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'PC2.04_Ind01'!$D$14:$J$14</c15:sqref>
                  </c15:fullRef>
                </c:ext>
              </c:extLst>
              <c:f>'PC2.04_Ind01'!$G$14:$J$14</c:f>
              <c:numCache>
                <c:formatCode>0</c:formatCode>
                <c:ptCount val="4"/>
                <c:pt idx="0">
                  <c:v>1</c:v>
                </c:pt>
                <c:pt idx="1">
                  <c:v>2</c:v>
                </c:pt>
                <c:pt idx="2">
                  <c:v>3</c:v>
                </c:pt>
                <c:pt idx="3" formatCode="General">
                  <c:v>1</c:v>
                </c:pt>
              </c:numCache>
            </c:numRef>
          </c:val>
          <c:extLst>
            <c:ext xmlns:c16="http://schemas.microsoft.com/office/drawing/2014/chart" uri="{C3380CC4-5D6E-409C-BE32-E72D297353CC}">
              <c16:uniqueId val="{00000000-3C56-41AB-AB81-2F64A20C10B7}"/>
            </c:ext>
          </c:extLst>
        </c:ser>
        <c:ser>
          <c:idx val="1"/>
          <c:order val="1"/>
          <c:tx>
            <c:strRef>
              <c:f>'PC2.04_Ind01'!$B$15</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'PC2.04_Ind01'!$D$15:$J$15</c15:sqref>
                  </c15:fullRef>
                </c:ext>
              </c:extLst>
              <c:f>'PC2.04_Ind01'!$G$15:$J$15</c:f>
              <c:numCache>
                <c:formatCode>0</c:formatCode>
                <c:ptCount val="4"/>
                <c:pt idx="0">
                  <c:v>2</c:v>
                </c:pt>
                <c:pt idx="1">
                  <c:v>1</c:v>
                </c:pt>
                <c:pt idx="2">
                  <c:v>1</c:v>
                </c:pt>
                <c:pt idx="3" formatCode="General">
                  <c:v>1</c:v>
                </c:pt>
              </c:numCache>
            </c:numRef>
          </c:val>
          <c:extLst>
            <c:ext xmlns:c16="http://schemas.microsoft.com/office/drawing/2014/chart" uri="{C3380CC4-5D6E-409C-BE32-E72D297353CC}">
              <c16:uniqueId val="{00000001-3C56-41AB-AB81-2F64A20C10B7}"/>
            </c:ext>
          </c:extLst>
        </c:ser>
        <c:ser>
          <c:idx val="2"/>
          <c:order val="2"/>
          <c:tx>
            <c:strRef>
              <c:f>'PC2.04_Ind01'!$B$16</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'PC2.04_Ind01'!$D$16:$J$16</c15:sqref>
                  </c15:fullRef>
                </c:ext>
              </c:extLst>
              <c:f>'PC2.04_Ind01'!$G$16:$J$16</c:f>
              <c:numCache>
                <c:formatCode>0</c:formatCode>
                <c:ptCount val="4"/>
                <c:pt idx="0">
                  <c:v>1</c:v>
                </c:pt>
                <c:pt idx="1">
                  <c:v>2</c:v>
                </c:pt>
                <c:pt idx="2">
                  <c:v>1</c:v>
                </c:pt>
                <c:pt idx="3" formatCode="General">
                  <c:v>2</c:v>
                </c:pt>
              </c:numCache>
            </c:numRef>
          </c:val>
          <c:extLst>
            <c:ext xmlns:c16="http://schemas.microsoft.com/office/drawing/2014/chart" uri="{C3380CC4-5D6E-409C-BE32-E72D297353CC}">
              <c16:uniqueId val="{00000002-3C56-41AB-AB81-2F64A20C10B7}"/>
            </c:ext>
          </c:extLst>
        </c:ser>
        <c:ser>
          <c:idx val="3"/>
          <c:order val="3"/>
          <c:tx>
            <c:strRef>
              <c:f>'PC2.04_Ind01'!$B$17</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'PC2.04_Ind01'!$D$17:$J$17</c15:sqref>
                  </c15:fullRef>
                </c:ext>
              </c:extLst>
              <c:f>'PC2.04_Ind01'!$G$17:$J$17</c:f>
              <c:numCache>
                <c:formatCode>0</c:formatCode>
                <c:ptCount val="4"/>
                <c:pt idx="0">
                  <c:v>2</c:v>
                </c:pt>
                <c:pt idx="1">
                  <c:v>2</c:v>
                </c:pt>
                <c:pt idx="2">
                  <c:v>2</c:v>
                </c:pt>
                <c:pt idx="3" formatCode="General">
                  <c:v>1</c:v>
                </c:pt>
              </c:numCache>
            </c:numRef>
          </c:val>
          <c:extLst>
            <c:ext xmlns:c16="http://schemas.microsoft.com/office/drawing/2014/chart" uri="{C3380CC4-5D6E-409C-BE32-E72D297353CC}">
              <c16:uniqueId val="{00000003-3C56-41AB-AB81-2F64A20C10B7}"/>
            </c:ext>
          </c:extLst>
        </c:ser>
        <c:ser>
          <c:idx val="4"/>
          <c:order val="4"/>
          <c:tx>
            <c:strRef>
              <c:f>'PC2.04_Ind01'!$B$18</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'PC2.04_Ind01'!$D$18:$J$18</c15:sqref>
                  </c15:fullRef>
                </c:ext>
              </c:extLst>
              <c:f>'PC2.04_Ind01'!$G$18:$J$18</c:f>
              <c:numCache>
                <c:formatCode>0</c:formatCode>
                <c:ptCount val="4"/>
                <c:pt idx="0">
                  <c:v>1</c:v>
                </c:pt>
                <c:pt idx="1">
                  <c:v>1</c:v>
                </c:pt>
                <c:pt idx="2">
                  <c:v>3</c:v>
                </c:pt>
                <c:pt idx="3" formatCode="General">
                  <c:v>1</c:v>
                </c:pt>
              </c:numCache>
            </c:numRef>
          </c:val>
          <c:extLst>
            <c:ext xmlns:c16="http://schemas.microsoft.com/office/drawing/2014/chart" uri="{C3380CC4-5D6E-409C-BE32-E72D297353CC}">
              <c16:uniqueId val="{00000004-3C56-41AB-AB81-2F64A20C10B7}"/>
            </c:ext>
          </c:extLst>
        </c:ser>
        <c:ser>
          <c:idx val="5"/>
          <c:order val="5"/>
          <c:tx>
            <c:strRef>
              <c:f>'PC2.04_Ind01'!$B$19</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'PC2.04_Ind01'!$D$19:$J$19</c15:sqref>
                  </c15:fullRef>
                </c:ext>
              </c:extLst>
              <c:f>'PC2.04_Ind01'!$G$19:$J$19</c:f>
              <c:numCache>
                <c:formatCode>0</c:formatCode>
                <c:ptCount val="4"/>
                <c:pt idx="0">
                  <c:v>0</c:v>
                </c:pt>
                <c:pt idx="1">
                  <c:v>1</c:v>
                </c:pt>
                <c:pt idx="2">
                  <c:v>3</c:v>
                </c:pt>
                <c:pt idx="3" formatCode="General">
                  <c:v>1</c:v>
                </c:pt>
              </c:numCache>
            </c:numRef>
          </c:val>
          <c:extLst>
            <c:ext xmlns:c16="http://schemas.microsoft.com/office/drawing/2014/chart" uri="{C3380CC4-5D6E-409C-BE32-E72D297353CC}">
              <c16:uniqueId val="{00000005-3C56-41AB-AB81-2F64A20C10B7}"/>
            </c:ext>
          </c:extLst>
        </c:ser>
        <c:ser>
          <c:idx val="6"/>
          <c:order val="6"/>
          <c:tx>
            <c:strRef>
              <c:f>'PC2.04_Ind01'!$B$20</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'PC2.04_Ind01'!$D$20:$J$20</c15:sqref>
                  </c15:fullRef>
                </c:ext>
              </c:extLst>
              <c:f>'PC2.04_Ind01'!$G$20:$J$20</c:f>
              <c:numCache>
                <c:formatCode>0</c:formatCode>
                <c:ptCount val="4"/>
                <c:pt idx="0">
                  <c:v>1</c:v>
                </c:pt>
                <c:pt idx="1">
                  <c:v>1</c:v>
                </c:pt>
                <c:pt idx="2">
                  <c:v>0</c:v>
                </c:pt>
                <c:pt idx="3" formatCode="General">
                  <c:v>1</c:v>
                </c:pt>
              </c:numCache>
            </c:numRef>
          </c:val>
          <c:extLst>
            <c:ext xmlns:c16="http://schemas.microsoft.com/office/drawing/2014/chart" uri="{C3380CC4-5D6E-409C-BE32-E72D297353CC}">
              <c16:uniqueId val="{00000006-3C56-41AB-AB81-2F64A20C10B7}"/>
            </c:ext>
          </c:extLst>
        </c:ser>
        <c:ser>
          <c:idx val="7"/>
          <c:order val="7"/>
          <c:tx>
            <c:strRef>
              <c:f>'PC2.04_Ind01'!$B$21</c:f>
              <c:strCache>
                <c:ptCount val="1"/>
                <c:pt idx="0">
                  <c:v>Matemàtica Computacional i Anàlisi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'PC2.04_Ind01'!$D$21:$J$21</c15:sqref>
                  </c15:fullRef>
                </c:ext>
              </c:extLst>
              <c:f>'PC2.04_Ind01'!$G$21:$J$21</c:f>
              <c:numCache>
                <c:formatCode>0</c:formatCode>
                <c:ptCount val="4"/>
                <c:pt idx="0">
                  <c:v>1</c:v>
                </c:pt>
                <c:pt idx="1">
                  <c:v>2</c:v>
                </c:pt>
                <c:pt idx="2">
                  <c:v>2</c:v>
                </c:pt>
                <c:pt idx="3" formatCode="General">
                  <c:v>2</c:v>
                </c:pt>
              </c:numCache>
            </c:numRef>
          </c:val>
          <c:extLst>
            <c:ext xmlns:c16="http://schemas.microsoft.com/office/drawing/2014/chart" uri="{C3380CC4-5D6E-409C-BE32-E72D297353CC}">
              <c16:uniqueId val="{00000007-3C56-41AB-AB81-2F64A20C10B7}"/>
            </c:ext>
          </c:extLst>
        </c:ser>
        <c:ser>
          <c:idx val="8"/>
          <c:order val="8"/>
          <c:tx>
            <c:strRef>
              <c:f>'PC2.04_Ind01'!$B$22</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'PC2.04_Ind01'!$D$22:$J$22</c15:sqref>
                  </c15:fullRef>
                </c:ext>
              </c:extLst>
              <c:f>'PC2.04_Ind01'!$G$22:$J$22</c:f>
              <c:numCache>
                <c:formatCode>0</c:formatCode>
                <c:ptCount val="4"/>
                <c:pt idx="0">
                  <c:v>3</c:v>
                </c:pt>
                <c:pt idx="1">
                  <c:v>2</c:v>
                </c:pt>
                <c:pt idx="2">
                  <c:v>3</c:v>
                </c:pt>
                <c:pt idx="3" formatCode="General">
                  <c:v>3</c:v>
                </c:pt>
              </c:numCache>
            </c:numRef>
          </c:val>
          <c:extLst>
            <c:ext xmlns:c16="http://schemas.microsoft.com/office/drawing/2014/chart" uri="{C3380CC4-5D6E-409C-BE32-E72D297353CC}">
              <c16:uniqueId val="{00000008-3C56-41AB-AB81-2F64A20C10B7}"/>
            </c:ext>
          </c:extLst>
        </c:ser>
        <c:ser>
          <c:idx val="9"/>
          <c:order val="9"/>
          <c:tx>
            <c:strRef>
              <c:f>'PC2.04_Ind01'!$B$23</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'PC2.04_Ind01'!$D$23:$J$23</c15:sqref>
                  </c15:fullRef>
                </c:ext>
              </c:extLst>
              <c:f>'PC2.04_Ind01'!$G$23:$J$23</c:f>
              <c:numCache>
                <c:formatCode>0</c:formatCode>
                <c:ptCount val="4"/>
                <c:pt idx="0">
                  <c:v>1</c:v>
                </c:pt>
                <c:pt idx="1">
                  <c:v>1</c:v>
                </c:pt>
                <c:pt idx="2">
                  <c:v>1</c:v>
                </c:pt>
                <c:pt idx="3" formatCode="General">
                  <c:v>2</c:v>
                </c:pt>
              </c:numCache>
            </c:numRef>
          </c:val>
          <c:extLst>
            <c:ext xmlns:c16="http://schemas.microsoft.com/office/drawing/2014/chart" uri="{C3380CC4-5D6E-409C-BE32-E72D297353CC}">
              <c16:uniqueId val="{00000009-3C56-41AB-AB81-2F64A20C10B7}"/>
            </c:ext>
          </c:extLst>
        </c:ser>
        <c:ser>
          <c:idx val="10"/>
          <c:order val="10"/>
          <c:tx>
            <c:strRef>
              <c:f>'PC2.04_Ind01'!$B$24</c:f>
              <c:strCache>
                <c:ptCount val="1"/>
                <c:pt idx="0">
                  <c:v>Química   </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'PC2.04_Ind01'!$D$24:$J$24</c15:sqref>
                  </c15:fullRef>
                </c:ext>
              </c:extLst>
              <c:f>'PC2.04_Ind01'!$G$24:$J$24</c:f>
              <c:numCache>
                <c:formatCode>0</c:formatCode>
                <c:ptCount val="4"/>
                <c:pt idx="0">
                  <c:v>2</c:v>
                </c:pt>
                <c:pt idx="1">
                  <c:v>2</c:v>
                </c:pt>
                <c:pt idx="2">
                  <c:v>3</c:v>
                </c:pt>
                <c:pt idx="3" formatCode="General">
                  <c:v>3</c:v>
                </c:pt>
              </c:numCache>
            </c:numRef>
          </c:val>
          <c:extLst>
            <c:ext xmlns:c16="http://schemas.microsoft.com/office/drawing/2014/chart" uri="{C3380CC4-5D6E-409C-BE32-E72D297353CC}">
              <c16:uniqueId val="{0000000A-3C56-41AB-AB81-2F64A20C10B7}"/>
            </c:ext>
          </c:extLst>
        </c:ser>
        <c:ser>
          <c:idx val="11"/>
          <c:order val="11"/>
          <c:tx>
            <c:strRef>
              <c:f>'PC2.04_Ind01'!$B$25</c:f>
              <c:strCache>
                <c:ptCount val="1"/>
                <c:pt idx="0">
                  <c:v>Estudis interdisciplinars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'PC2.04_Ind01'!$D$25:$J$25</c15:sqref>
                  </c15:fullRef>
                </c:ext>
              </c:extLst>
              <c:f>'PC2.04_Ind01'!$G$25:$J$25</c:f>
              <c:numCache>
                <c:formatCode>0</c:formatCode>
                <c:ptCount val="4"/>
                <c:pt idx="0">
                  <c:v>1</c:v>
                </c:pt>
                <c:pt idx="1">
                  <c:v>1</c:v>
                </c:pt>
                <c:pt idx="2">
                  <c:v>1</c:v>
                </c:pt>
                <c:pt idx="3" formatCode="General">
                  <c:v>1</c:v>
                </c:pt>
              </c:numCache>
            </c:numRef>
          </c:val>
          <c:extLst>
            <c:ext xmlns:c16="http://schemas.microsoft.com/office/drawing/2014/chart" uri="{C3380CC4-5D6E-409C-BE32-E72D297353CC}">
              <c16:uniqueId val="{0000000B-3C56-41AB-AB81-2F64A20C10B7}"/>
            </c:ext>
          </c:extLst>
        </c:ser>
        <c:ser>
          <c:idx val="12"/>
          <c:order val="12"/>
          <c:tx>
            <c:strRef>
              <c:f>'PC2.04_Ind01'!$B$26</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'PC2.04_Ind01'!$D$26:$J$26</c15:sqref>
                  </c15:fullRef>
                </c:ext>
              </c:extLst>
              <c:f>'PC2.04_Ind01'!$G$26:$J$26</c:f>
              <c:numCache>
                <c:formatCode>0</c:formatCode>
                <c:ptCount val="4"/>
                <c:pt idx="0">
                  <c:v>1</c:v>
                </c:pt>
                <c:pt idx="1">
                  <c:v>3</c:v>
                </c:pt>
                <c:pt idx="2">
                  <c:v>4</c:v>
                </c:pt>
                <c:pt idx="3" formatCode="General">
                  <c:v>4</c:v>
                </c:pt>
              </c:numCache>
            </c:numRef>
          </c:val>
          <c:extLst>
            <c:ext xmlns:c16="http://schemas.microsoft.com/office/drawing/2014/chart" uri="{C3380CC4-5D6E-409C-BE32-E72D297353CC}">
              <c16:uniqueId val="{0000000C-3C56-41AB-AB81-2F64A20C10B7}"/>
            </c:ext>
          </c:extLst>
        </c:ser>
        <c:ser>
          <c:idx val="13"/>
          <c:order val="13"/>
          <c:tx>
            <c:strRef>
              <c:f>'PC2.04_Ind01'!$B$27</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'PC2.04_Ind01'!$D$27:$J$27</c15:sqref>
                  </c15:fullRef>
                </c:ext>
              </c:extLst>
              <c:f>'PC2.04_Ind01'!$G$27:$J$27</c:f>
              <c:numCache>
                <c:formatCode>0</c:formatCode>
                <c:ptCount val="4"/>
                <c:pt idx="0">
                  <c:v>1</c:v>
                </c:pt>
                <c:pt idx="1">
                  <c:v>3</c:v>
                </c:pt>
                <c:pt idx="2">
                  <c:v>2</c:v>
                </c:pt>
                <c:pt idx="3" formatCode="General">
                  <c:v>0</c:v>
                </c:pt>
              </c:numCache>
            </c:numRef>
          </c:val>
          <c:extLst>
            <c:ext xmlns:c16="http://schemas.microsoft.com/office/drawing/2014/chart" uri="{C3380CC4-5D6E-409C-BE32-E72D297353CC}">
              <c16:uniqueId val="{0000000D-3C56-41AB-AB81-2F64A20C10B7}"/>
            </c:ext>
          </c:extLst>
        </c:ser>
        <c:ser>
          <c:idx val="14"/>
          <c:order val="14"/>
          <c:tx>
            <c:strRef>
              <c:f>'PC2.04_Ind01'!$B$28</c:f>
              <c:strCache>
                <c:ptCount val="1"/>
                <c:pt idx="0">
                  <c:v>Modelització per a la Ciència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'PC2.04_Ind01'!$D$28:$J$28</c15:sqref>
                  </c15:fullRef>
                </c:ext>
              </c:extLst>
              <c:f>'PC2.04_Ind01'!$G$28:$J$28</c:f>
              <c:numCache>
                <c:formatCode>0</c:formatCode>
                <c:ptCount val="4"/>
                <c:pt idx="0">
                  <c:v>0</c:v>
                </c:pt>
                <c:pt idx="1">
                  <c:v>0</c:v>
                </c:pt>
                <c:pt idx="2">
                  <c:v>1</c:v>
                </c:pt>
                <c:pt idx="3" formatCode="General">
                  <c:v>1</c:v>
                </c:pt>
              </c:numCache>
            </c:numRef>
          </c:val>
          <c:extLst>
            <c:ext xmlns:c16="http://schemas.microsoft.com/office/drawing/2014/chart" uri="{C3380CC4-5D6E-409C-BE32-E72D297353CC}">
              <c16:uniqueId val="{0000000E-3C56-41AB-AB81-2F64A20C10B7}"/>
            </c:ext>
          </c:extLst>
        </c:ser>
        <c:ser>
          <c:idx val="15"/>
          <c:order val="15"/>
          <c:tx>
            <c:strRef>
              <c:f>'PC2.04_Ind01'!$B$29</c:f>
              <c:strCache>
                <c:ptCount val="1"/>
                <c:pt idx="0">
                  <c:v>Nanociència i Nanotecnologia avançade</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'PC2.04_Ind01'!$D$29:$J$29</c15:sqref>
                  </c15:fullRef>
                </c:ext>
              </c:extLst>
              <c:f>'PC2.04_Ind01'!$G$29:$J$29</c:f>
              <c:numCache>
                <c:formatCode>0</c:formatCode>
                <c:ptCount val="4"/>
                <c:pt idx="0">
                  <c:v>2</c:v>
                </c:pt>
                <c:pt idx="1">
                  <c:v>1</c:v>
                </c:pt>
                <c:pt idx="2">
                  <c:v>1</c:v>
                </c:pt>
                <c:pt idx="3" formatCode="General">
                  <c:v>2</c:v>
                </c:pt>
              </c:numCache>
            </c:numRef>
          </c:val>
          <c:extLst>
            <c:ext xmlns:c16="http://schemas.microsoft.com/office/drawing/2014/chart" uri="{C3380CC4-5D6E-409C-BE32-E72D297353CC}">
              <c16:uniqueId val="{0000000F-3C56-41AB-AB81-2F64A20C10B7}"/>
            </c:ext>
          </c:extLst>
        </c:ser>
        <c:ser>
          <c:idx val="16"/>
          <c:order val="16"/>
          <c:tx>
            <c:strRef>
              <c:f>'PC2.04_Ind01'!$B$30</c:f>
              <c:strCache>
                <c:ptCount val="1"/>
                <c:pt idx="0">
                  <c:v>Paleobiologia i Registre Fòssil</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'PC2.04_Ind01'!$D$30:$J$30</c15:sqref>
                  </c15:fullRef>
                </c:ext>
              </c:extLst>
              <c:f>'PC2.04_Ind01'!$G$30:$J$30</c:f>
              <c:numCache>
                <c:formatCode>0</c:formatCode>
                <c:ptCount val="4"/>
                <c:pt idx="0">
                  <c:v>2</c:v>
                </c:pt>
                <c:pt idx="1">
                  <c:v>1</c:v>
                </c:pt>
                <c:pt idx="2">
                  <c:v>1</c:v>
                </c:pt>
                <c:pt idx="3" formatCode="General">
                  <c:v>3</c:v>
                </c:pt>
              </c:numCache>
            </c:numRef>
          </c:val>
          <c:extLst>
            <c:ext xmlns:c16="http://schemas.microsoft.com/office/drawing/2014/chart" uri="{C3380CC4-5D6E-409C-BE32-E72D297353CC}">
              <c16:uniqueId val="{00000010-3C56-41AB-AB81-2F64A20C10B7}"/>
            </c:ext>
          </c:extLst>
        </c:ser>
        <c:ser>
          <c:idx val="17"/>
          <c:order val="17"/>
          <c:tx>
            <c:strRef>
              <c:f>'PC2.04_Ind01'!$B$31</c:f>
              <c:strCache>
                <c:ptCount val="1"/>
                <c:pt idx="0">
                  <c:v>Química industrial i introducció a la recerca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'PC2.04_Ind01'!$D$31:$J$31</c15:sqref>
                  </c15:fullRef>
                </c:ext>
              </c:extLst>
              <c:f>'PC2.04_Ind01'!$G$31:$J$31</c:f>
              <c:numCache>
                <c:formatCode>0</c:formatCode>
                <c:ptCount val="4"/>
                <c:pt idx="0">
                  <c:v>2</c:v>
                </c:pt>
                <c:pt idx="1">
                  <c:v>2</c:v>
                </c:pt>
                <c:pt idx="2">
                  <c:v>2</c:v>
                </c:pt>
                <c:pt idx="3" formatCode="General">
                  <c:v>2</c:v>
                </c:pt>
              </c:numCache>
            </c:numRef>
          </c:val>
          <c:extLst>
            <c:ext xmlns:c16="http://schemas.microsoft.com/office/drawing/2014/chart" uri="{C3380CC4-5D6E-409C-BE32-E72D297353CC}">
              <c16:uniqueId val="{00000011-3C56-41AB-AB81-2F64A20C10B7}"/>
            </c:ext>
          </c:extLst>
        </c:ser>
        <c:dLbls>
          <c:showLegendKey val="0"/>
          <c:showVal val="0"/>
          <c:showCatName val="0"/>
          <c:showSerName val="0"/>
          <c:showPercent val="0"/>
          <c:showBubbleSize val="0"/>
        </c:dLbls>
        <c:gapWidth val="150"/>
        <c:axId val="2001633296"/>
        <c:axId val="1354707760"/>
      </c:barChart>
      <c:lineChart>
        <c:grouping val="standard"/>
        <c:varyColors val="0"/>
        <c:ser>
          <c:idx val="18"/>
          <c:order val="18"/>
          <c:tx>
            <c:strRef>
              <c:f>'PC2.04_Ind01'!$B$34</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rgbClr val="F1960F"/>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'PC2.04_Ind01'!$D$34:$J$34</c15:sqref>
                  </c15:fullRef>
                </c:ext>
              </c:extLst>
              <c:f>'PC2.04_Ind01'!$G$34:$J$34</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12-3C56-41AB-AB81-2F64A20C10B7}"/>
            </c:ext>
          </c:extLst>
        </c:ser>
        <c:dLbls>
          <c:showLegendKey val="0"/>
          <c:showVal val="0"/>
          <c:showCatName val="0"/>
          <c:showSerName val="0"/>
          <c:showPercent val="0"/>
          <c:showBubbleSize val="0"/>
        </c:dLbls>
        <c:marker val="1"/>
        <c:smooth val="0"/>
        <c:axId val="2001633296"/>
        <c:axId val="1354707760"/>
      </c:lineChart>
      <c:catAx>
        <c:axId val="2001633296"/>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4707760"/>
        <c:crosses val="autoZero"/>
        <c:auto val="1"/>
        <c:lblAlgn val="ctr"/>
        <c:lblOffset val="100"/>
        <c:noMultiLvlLbl val="0"/>
      </c:catAx>
      <c:valAx>
        <c:axId val="1354707760"/>
        <c:scaling>
          <c:orientation val="minMax"/>
          <c:max val="5"/>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01633296"/>
        <c:crosses val="autoZero"/>
        <c:crossBetween val="between"/>
        <c:majorUnit val="1"/>
      </c:valAx>
      <c:spPr>
        <a:noFill/>
        <a:ln>
          <a:noFill/>
        </a:ln>
        <a:effectLst/>
      </c:spPr>
    </c:plotArea>
    <c:legend>
      <c:legendPos val="b"/>
      <c:layout>
        <c:manualLayout>
          <c:xMode val="edge"/>
          <c:yMode val="edge"/>
          <c:x val="3.7905954549306023E-2"/>
          <c:y val="0.80888457753015119"/>
          <c:w val="0.84063712378259237"/>
          <c:h val="0.18021624146749324"/>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PC2.04_Ind02. Taxa d’abandonament a primer curs</a:t>
            </a:r>
            <a:r>
              <a:rPr lang="ca-ES" sz="1400" b="1" baseline="0">
                <a:effectLst/>
                <a:latin typeface="Calibri" panose="020F0502020204030204" pitchFamily="34" charset="0"/>
                <a:ea typeface="Calibri" panose="020F0502020204030204" pitchFamily="34" charset="0"/>
                <a:cs typeface="Calibri" panose="020F0502020204030204" pitchFamily="34" charset="0"/>
              </a:rPr>
              <a:t> a temps complert</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'PC2.04_Ind02'!$B$15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'PC2.04_Ind02'!$G$15:$J$15</c15:sqref>
                  </c15:fullRef>
                </c:ext>
              </c:extLst>
              <c:f>'PC2.04_Ind02'!$J$15</c:f>
              <c:numCache>
                <c:formatCode>0.00%</c:formatCode>
                <c:ptCount val="1"/>
                <c:pt idx="0">
                  <c:v>0.16669999999999999</c:v>
                </c:pt>
              </c:numCache>
            </c:numRef>
          </c:val>
          <c:extLst>
            <c:ext xmlns:c16="http://schemas.microsoft.com/office/drawing/2014/chart" uri="{C3380CC4-5D6E-409C-BE32-E72D297353CC}">
              <c16:uniqueId val="{00000000-4672-47A5-ADCB-6823029B5230}"/>
            </c:ext>
          </c:extLst>
        </c:ser>
        <c:ser>
          <c:idx val="1"/>
          <c:order val="1"/>
          <c:tx>
            <c:strRef>
              <c:f>'PC2.04_Ind02'!$B$16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'PC2.04_Ind02'!$D$16:$J$16</c15:sqref>
                  </c15:fullRef>
                </c:ext>
              </c:extLst>
              <c:f>'PC2.04_Ind02'!$G$16:$J$16</c:f>
              <c:numCache>
                <c:formatCode>0.00%</c:formatCode>
                <c:ptCount val="4"/>
                <c:pt idx="0">
                  <c:v>0.2</c:v>
                </c:pt>
                <c:pt idx="1">
                  <c:v>0</c:v>
                </c:pt>
                <c:pt idx="2">
                  <c:v>0</c:v>
                </c:pt>
                <c:pt idx="3">
                  <c:v>0.3125</c:v>
                </c:pt>
              </c:numCache>
            </c:numRef>
          </c:val>
          <c:extLst>
            <c:ext xmlns:c16="http://schemas.microsoft.com/office/drawing/2014/chart" uri="{C3380CC4-5D6E-409C-BE32-E72D297353CC}">
              <c16:uniqueId val="{00000001-4672-47A5-ADCB-6823029B5230}"/>
            </c:ext>
          </c:extLst>
        </c:ser>
        <c:ser>
          <c:idx val="2"/>
          <c:order val="2"/>
          <c:tx>
            <c:strRef>
              <c:f>'PC2.04_Ind02'!$B$17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'PC2.04_Ind02'!$D$17:$J$17</c15:sqref>
                  </c15:fullRef>
                </c:ext>
              </c:extLst>
              <c:f>'PC2.04_Ind02'!$G$17:$J$17</c:f>
              <c:numCache>
                <c:formatCode>0.00%</c:formatCode>
                <c:ptCount val="4"/>
                <c:pt idx="0">
                  <c:v>0.28000000000000003</c:v>
                </c:pt>
                <c:pt idx="1">
                  <c:v>0</c:v>
                </c:pt>
                <c:pt idx="2">
                  <c:v>0.1628</c:v>
                </c:pt>
                <c:pt idx="3">
                  <c:v>0.1628</c:v>
                </c:pt>
              </c:numCache>
            </c:numRef>
          </c:val>
          <c:extLst>
            <c:ext xmlns:c16="http://schemas.microsoft.com/office/drawing/2014/chart" uri="{C3380CC4-5D6E-409C-BE32-E72D297353CC}">
              <c16:uniqueId val="{00000002-4672-47A5-ADCB-6823029B5230}"/>
            </c:ext>
          </c:extLst>
        </c:ser>
        <c:ser>
          <c:idx val="3"/>
          <c:order val="3"/>
          <c:tx>
            <c:strRef>
              <c:f>'PC2.04_Ind02'!$B$18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'PC2.04_Ind02'!$D$18:$J$18</c15:sqref>
                  </c15:fullRef>
                </c:ext>
              </c:extLst>
              <c:f>'PC2.04_Ind02'!$G$18:$J$18</c:f>
              <c:numCache>
                <c:formatCode>0.00%</c:formatCode>
                <c:ptCount val="4"/>
                <c:pt idx="0">
                  <c:v>0.05</c:v>
                </c:pt>
                <c:pt idx="1">
                  <c:v>0</c:v>
                </c:pt>
                <c:pt idx="2">
                  <c:v>0.1053</c:v>
                </c:pt>
                <c:pt idx="3">
                  <c:v>0.1154</c:v>
                </c:pt>
              </c:numCache>
            </c:numRef>
          </c:val>
          <c:extLst>
            <c:ext xmlns:c16="http://schemas.microsoft.com/office/drawing/2014/chart" uri="{C3380CC4-5D6E-409C-BE32-E72D297353CC}">
              <c16:uniqueId val="{00000003-4672-47A5-ADCB-6823029B5230}"/>
            </c:ext>
          </c:extLst>
        </c:ser>
        <c:ser>
          <c:idx val="4"/>
          <c:order val="4"/>
          <c:tx>
            <c:strRef>
              <c:f>'PC2.04_Ind02'!$B$19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'PC2.04_Ind02'!$D$19:$J$19</c15:sqref>
                  </c15:fullRef>
                </c:ext>
              </c:extLst>
              <c:f>'PC2.04_Ind02'!$G$19:$J$19</c:f>
              <c:numCache>
                <c:formatCode>0.00%</c:formatCode>
                <c:ptCount val="4"/>
                <c:pt idx="0">
                  <c:v>0.05</c:v>
                </c:pt>
                <c:pt idx="1">
                  <c:v>0</c:v>
                </c:pt>
                <c:pt idx="2">
                  <c:v>9.0899999999999995E-2</c:v>
                </c:pt>
                <c:pt idx="3">
                  <c:v>0.2273</c:v>
                </c:pt>
              </c:numCache>
            </c:numRef>
          </c:val>
          <c:extLst>
            <c:ext xmlns:c16="http://schemas.microsoft.com/office/drawing/2014/chart" uri="{C3380CC4-5D6E-409C-BE32-E72D297353CC}">
              <c16:uniqueId val="{00000004-4672-47A5-ADCB-6823029B5230}"/>
            </c:ext>
          </c:extLst>
        </c:ser>
        <c:ser>
          <c:idx val="5"/>
          <c:order val="5"/>
          <c:tx>
            <c:strRef>
              <c:f>'PC2.04_Ind02'!$B$20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'PC2.04_Ind02'!$D$20:$J$20</c15:sqref>
                  </c15:fullRef>
                </c:ext>
              </c:extLst>
              <c:f>'PC2.04_Ind02'!$G$20:$J$20</c:f>
              <c:numCache>
                <c:formatCode>0.00%</c:formatCode>
                <c:ptCount val="4"/>
                <c:pt idx="0">
                  <c:v>0.14000000000000001</c:v>
                </c:pt>
                <c:pt idx="1">
                  <c:v>0</c:v>
                </c:pt>
                <c:pt idx="2">
                  <c:v>9.5200000000000007E-2</c:v>
                </c:pt>
                <c:pt idx="3">
                  <c:v>4.3499999999999997E-2</c:v>
                </c:pt>
              </c:numCache>
            </c:numRef>
          </c:val>
          <c:extLst>
            <c:ext xmlns:c16="http://schemas.microsoft.com/office/drawing/2014/chart" uri="{C3380CC4-5D6E-409C-BE32-E72D297353CC}">
              <c16:uniqueId val="{00000005-4672-47A5-ADCB-6823029B5230}"/>
            </c:ext>
          </c:extLst>
        </c:ser>
        <c:ser>
          <c:idx val="6"/>
          <c:order val="6"/>
          <c:tx>
            <c:strRef>
              <c:f>'PC2.04_Ind02'!$B$21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'PC2.04_Ind02'!$D$21:$J$21</c15:sqref>
                  </c15:fullRef>
                </c:ext>
              </c:extLst>
              <c:f>'PC2.04_Ind02'!$G$21:$J$21</c:f>
              <c:numCache>
                <c:formatCode>0.00%</c:formatCode>
                <c:ptCount val="4"/>
                <c:pt idx="0">
                  <c:v>0.38</c:v>
                </c:pt>
                <c:pt idx="1">
                  <c:v>0</c:v>
                </c:pt>
                <c:pt idx="2">
                  <c:v>0.45</c:v>
                </c:pt>
                <c:pt idx="3">
                  <c:v>0.23680000000000001</c:v>
                </c:pt>
              </c:numCache>
            </c:numRef>
          </c:val>
          <c:extLst>
            <c:ext xmlns:c16="http://schemas.microsoft.com/office/drawing/2014/chart" uri="{C3380CC4-5D6E-409C-BE32-E72D297353CC}">
              <c16:uniqueId val="{00000006-4672-47A5-ADCB-6823029B5230}"/>
            </c:ext>
          </c:extLst>
        </c:ser>
        <c:ser>
          <c:idx val="7"/>
          <c:order val="7"/>
          <c:tx>
            <c:strRef>
              <c:f>'PC2.04_Ind02'!$B$22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'PC2.04_Ind02'!$D$22:$J$22</c15:sqref>
                  </c15:fullRef>
                </c:ext>
              </c:extLst>
              <c:f>'PC2.04_Ind02'!$G$22:$J$22</c:f>
              <c:numCache>
                <c:formatCode>0.00%</c:formatCode>
                <c:ptCount val="4"/>
                <c:pt idx="0">
                  <c:v>0.06</c:v>
                </c:pt>
                <c:pt idx="1">
                  <c:v>0</c:v>
                </c:pt>
                <c:pt idx="2">
                  <c:v>0.21429999999999999</c:v>
                </c:pt>
                <c:pt idx="3">
                  <c:v>2.3300000000000001E-2</c:v>
                </c:pt>
              </c:numCache>
            </c:numRef>
          </c:val>
          <c:extLst>
            <c:ext xmlns:c16="http://schemas.microsoft.com/office/drawing/2014/chart" uri="{C3380CC4-5D6E-409C-BE32-E72D297353CC}">
              <c16:uniqueId val="{00000007-4672-47A5-ADCB-6823029B5230}"/>
            </c:ext>
          </c:extLst>
        </c:ser>
        <c:ser>
          <c:idx val="8"/>
          <c:order val="8"/>
          <c:tx>
            <c:strRef>
              <c:f>'PC2.04_Ind02'!$B$23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'PC2.04_Ind02'!$D$23:$J$23</c15:sqref>
                  </c15:fullRef>
                </c:ext>
              </c:extLst>
              <c:f>'PC2.04_Ind02'!$G$23:$J$23</c:f>
              <c:numCache>
                <c:formatCode>0.00%</c:formatCode>
                <c:ptCount val="4"/>
                <c:pt idx="0">
                  <c:v>0.12</c:v>
                </c:pt>
                <c:pt idx="1">
                  <c:v>0</c:v>
                </c:pt>
                <c:pt idx="2">
                  <c:v>0.20630000000000001</c:v>
                </c:pt>
                <c:pt idx="3">
                  <c:v>0.1045</c:v>
                </c:pt>
              </c:numCache>
            </c:numRef>
          </c:val>
          <c:extLst>
            <c:ext xmlns:c16="http://schemas.microsoft.com/office/drawing/2014/chart" uri="{C3380CC4-5D6E-409C-BE32-E72D297353CC}">
              <c16:uniqueId val="{00000008-4672-47A5-ADCB-6823029B5230}"/>
            </c:ext>
          </c:extLst>
        </c:ser>
        <c:ser>
          <c:idx val="9"/>
          <c:order val="9"/>
          <c:tx>
            <c:strRef>
              <c:f>'PC2.04_Ind02'!$B$24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'PC2.04_Ind02'!$D$24:$J$24</c15:sqref>
                  </c15:fullRef>
                </c:ext>
              </c:extLst>
              <c:f>'PC2.04_Ind02'!$G$24:$J$24</c:f>
              <c:numCache>
                <c:formatCode>0.00%</c:formatCode>
                <c:ptCount val="4"/>
                <c:pt idx="0">
                  <c:v>0.18</c:v>
                </c:pt>
                <c:pt idx="1">
                  <c:v>0</c:v>
                </c:pt>
                <c:pt idx="2">
                  <c:v>0.18459999999999999</c:v>
                </c:pt>
                <c:pt idx="3">
                  <c:v>0.13850000000000001</c:v>
                </c:pt>
              </c:numCache>
            </c:numRef>
          </c:val>
          <c:extLst>
            <c:ext xmlns:c16="http://schemas.microsoft.com/office/drawing/2014/chart" uri="{C3380CC4-5D6E-409C-BE32-E72D297353CC}">
              <c16:uniqueId val="{00000009-4672-47A5-ADCB-6823029B5230}"/>
            </c:ext>
          </c:extLst>
        </c:ser>
        <c:ser>
          <c:idx val="10"/>
          <c:order val="10"/>
          <c:tx>
            <c:strRef>
              <c:f>'PC2.04_Ind02'!$B$25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'PC2.04_Ind02'!$D$25:$J$25</c15:sqref>
                  </c15:fullRef>
                </c:ext>
              </c:extLst>
              <c:f>'PC2.04_Ind02'!$G$25:$J$25</c:f>
              <c:numCache>
                <c:formatCode>0.00%</c:formatCode>
                <c:ptCount val="4"/>
                <c:pt idx="0">
                  <c:v>0.18</c:v>
                </c:pt>
                <c:pt idx="1">
                  <c:v>0</c:v>
                </c:pt>
                <c:pt idx="2">
                  <c:v>0.15970000000000001</c:v>
                </c:pt>
                <c:pt idx="3">
                  <c:v>9.0899999999999995E-2</c:v>
                </c:pt>
              </c:numCache>
            </c:numRef>
          </c:val>
          <c:extLst>
            <c:ext xmlns:c16="http://schemas.microsoft.com/office/drawing/2014/chart" uri="{C3380CC4-5D6E-409C-BE32-E72D297353CC}">
              <c16:uniqueId val="{0000000A-4672-47A5-ADCB-6823029B5230}"/>
            </c:ext>
          </c:extLst>
        </c:ser>
        <c:ser>
          <c:idx val="11"/>
          <c:order val="11"/>
          <c:tx>
            <c:strRef>
              <c:f>'PC2.04_Ind02'!$B$26</c:f>
              <c:strCache>
                <c:ptCount val="1"/>
                <c:pt idx="0">
                  <c:v>Estudis Interdisciplinaris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'PC2.04_Ind02'!$D$26:$J$26</c15:sqref>
                  </c15:fullRef>
                </c:ext>
              </c:extLst>
              <c:f>'PC2.04_Ind02'!$G$26:$J$26</c:f>
              <c:numCache>
                <c:formatCode>0.00%</c:formatCode>
                <c:ptCount val="4"/>
                <c:pt idx="0">
                  <c:v>0.04</c:v>
                </c:pt>
                <c:pt idx="1">
                  <c:v>0</c:v>
                </c:pt>
                <c:pt idx="2">
                  <c:v>1.9199999999999998E-2</c:v>
                </c:pt>
                <c:pt idx="3">
                  <c:v>3.6999999999999998E-2</c:v>
                </c:pt>
              </c:numCache>
            </c:numRef>
          </c:val>
          <c:extLst>
            <c:ext xmlns:c16="http://schemas.microsoft.com/office/drawing/2014/chart" uri="{C3380CC4-5D6E-409C-BE32-E72D297353CC}">
              <c16:uniqueId val="{0000000B-4672-47A5-ADCB-6823029B5230}"/>
            </c:ext>
          </c:extLst>
        </c:ser>
        <c:ser>
          <c:idx val="12"/>
          <c:order val="12"/>
          <c:tx>
            <c:strRef>
              <c:f>'PC2.04_Ind02'!$B$27</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'PC2.04_Ind02'!$D$27:$J$27</c15:sqref>
                  </c15:fullRef>
                </c:ext>
              </c:extLst>
              <c:f>'PC2.04_Ind02'!$G$27:$J$27</c:f>
              <c:numCache>
                <c:formatCode>0.00%</c:formatCode>
                <c:ptCount val="4"/>
                <c:pt idx="0">
                  <c:v>0.06</c:v>
                </c:pt>
                <c:pt idx="1">
                  <c:v>0</c:v>
                </c:pt>
                <c:pt idx="2">
                  <c:v>3.85E-2</c:v>
                </c:pt>
                <c:pt idx="3">
                  <c:v>0.15</c:v>
                </c:pt>
              </c:numCache>
            </c:numRef>
          </c:val>
          <c:extLst>
            <c:ext xmlns:c16="http://schemas.microsoft.com/office/drawing/2014/chart" uri="{C3380CC4-5D6E-409C-BE32-E72D297353CC}">
              <c16:uniqueId val="{0000000C-4672-47A5-ADCB-6823029B5230}"/>
            </c:ext>
          </c:extLst>
        </c:ser>
        <c:ser>
          <c:idx val="13"/>
          <c:order val="13"/>
          <c:tx>
            <c:strRef>
              <c:f>'PC2.04_Ind02'!$B$28</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'PC2.04_Ind02'!$D$28:$J$28</c15:sqref>
                  </c15:fullRef>
                </c:ext>
              </c:extLst>
              <c:f>'PC2.04_Ind02'!$G$28:$J$28</c:f>
              <c:numCache>
                <c:formatCode>0.00%</c:formatCode>
                <c:ptCount val="4"/>
                <c:pt idx="0">
                  <c:v>7.0000000000000007E-2</c:v>
                </c:pt>
                <c:pt idx="1">
                  <c:v>0</c:v>
                </c:pt>
                <c:pt idx="2">
                  <c:v>5.5599999999999997E-2</c:v>
                </c:pt>
                <c:pt idx="3">
                  <c:v>0</c:v>
                </c:pt>
              </c:numCache>
            </c:numRef>
          </c:val>
          <c:extLst>
            <c:ext xmlns:c16="http://schemas.microsoft.com/office/drawing/2014/chart" uri="{C3380CC4-5D6E-409C-BE32-E72D297353CC}">
              <c16:uniqueId val="{0000000D-4672-47A5-ADCB-6823029B5230}"/>
            </c:ext>
          </c:extLst>
        </c:ser>
        <c:ser>
          <c:idx val="14"/>
          <c:order val="14"/>
          <c:tx>
            <c:strRef>
              <c:f>'PC2.04_Ind02'!$B$29</c:f>
              <c:strCache>
                <c:ptCount val="1"/>
                <c:pt idx="0">
                  <c:v>Modelització per a la Ciència i l'Enginyeria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'PC2.04_Ind02'!$D$29:$J$29</c15:sqref>
                  </c15:fullRef>
                </c:ext>
              </c:extLst>
              <c:f>'PC2.04_Ind02'!$G$29:$J$29</c:f>
              <c:numCache>
                <c:formatCode>0.00%</c:formatCode>
                <c:ptCount val="4"/>
                <c:pt idx="0">
                  <c:v>0.03</c:v>
                </c:pt>
                <c:pt idx="1">
                  <c:v>0</c:v>
                </c:pt>
                <c:pt idx="2">
                  <c:v>2.3800000000000002E-2</c:v>
                </c:pt>
                <c:pt idx="3">
                  <c:v>2.2700000000000001E-2</c:v>
                </c:pt>
              </c:numCache>
            </c:numRef>
          </c:val>
          <c:extLst>
            <c:ext xmlns:c16="http://schemas.microsoft.com/office/drawing/2014/chart" uri="{C3380CC4-5D6E-409C-BE32-E72D297353CC}">
              <c16:uniqueId val="{0000000E-4672-47A5-ADCB-6823029B5230}"/>
            </c:ext>
          </c:extLst>
        </c:ser>
        <c:ser>
          <c:idx val="15"/>
          <c:order val="15"/>
          <c:tx>
            <c:strRef>
              <c:f>'PC2.04_Ind02'!$B$30</c:f>
              <c:strCache>
                <c:ptCount val="1"/>
                <c:pt idx="0">
                  <c:v>Nanociència i Nanotecnologia Avançades</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'PC2.04_Ind02'!$D$30:$J$30</c15:sqref>
                  </c15:fullRef>
                </c:ext>
              </c:extLst>
              <c:f>'PC2.04_Ind02'!$G$30:$J$30</c:f>
              <c:numCache>
                <c:formatCode>0.00%</c:formatCode>
                <c:ptCount val="4"/>
                <c:pt idx="0">
                  <c:v>0.09</c:v>
                </c:pt>
                <c:pt idx="1">
                  <c:v>0</c:v>
                </c:pt>
                <c:pt idx="2">
                  <c:v>8.3299999999999999E-2</c:v>
                </c:pt>
                <c:pt idx="3">
                  <c:v>5.5599999999999997E-2</c:v>
                </c:pt>
              </c:numCache>
            </c:numRef>
          </c:val>
          <c:extLst>
            <c:ext xmlns:c16="http://schemas.microsoft.com/office/drawing/2014/chart" uri="{C3380CC4-5D6E-409C-BE32-E72D297353CC}">
              <c16:uniqueId val="{0000000F-4672-47A5-ADCB-6823029B5230}"/>
            </c:ext>
          </c:extLst>
        </c:ser>
        <c:ser>
          <c:idx val="16"/>
          <c:order val="16"/>
          <c:tx>
            <c:strRef>
              <c:f>'PC2.04_Ind02'!$B$31</c:f>
              <c:strCache>
                <c:ptCount val="1"/>
                <c:pt idx="0">
                  <c:v>Paleobiologia i Registre Fòssil</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'PC2.04_Ind02'!$D$31:$J$31</c15:sqref>
                  </c15:fullRef>
                </c:ext>
              </c:extLst>
              <c:f>'PC2.04_Ind02'!$G$31:$J$31</c:f>
              <c:numCache>
                <c:formatCode>0.00%</c:formatCode>
                <c:ptCount val="4"/>
                <c:pt idx="0">
                  <c:v>0</c:v>
                </c:pt>
                <c:pt idx="1">
                  <c:v>0</c:v>
                </c:pt>
                <c:pt idx="2">
                  <c:v>0</c:v>
                </c:pt>
                <c:pt idx="3">
                  <c:v>6.6699999999999995E-2</c:v>
                </c:pt>
              </c:numCache>
            </c:numRef>
          </c:val>
          <c:extLst>
            <c:ext xmlns:c16="http://schemas.microsoft.com/office/drawing/2014/chart" uri="{C3380CC4-5D6E-409C-BE32-E72D297353CC}">
              <c16:uniqueId val="{00000010-4672-47A5-ADCB-6823029B5230}"/>
            </c:ext>
          </c:extLst>
        </c:ser>
        <c:ser>
          <c:idx val="17"/>
          <c:order val="17"/>
          <c:tx>
            <c:strRef>
              <c:f>'PC2.04_Ind02'!$B$32</c:f>
              <c:strCache>
                <c:ptCount val="1"/>
                <c:pt idx="0">
                  <c:v>Química Industrial i Introducció a la Recerca de la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'PC2.04_Ind02'!$D$32:$J$32</c15:sqref>
                  </c15:fullRef>
                </c:ext>
              </c:extLst>
              <c:f>'PC2.04_Ind02'!$G$32:$J$32</c:f>
              <c:numCache>
                <c:formatCode>0.00%</c:formatCode>
                <c:ptCount val="4"/>
                <c:pt idx="0">
                  <c:v>0.05</c:v>
                </c:pt>
                <c:pt idx="1">
                  <c:v>0</c:v>
                </c:pt>
                <c:pt idx="2">
                  <c:v>5.1299999999999998E-2</c:v>
                </c:pt>
                <c:pt idx="3">
                  <c:v>2.3300000000000001E-2</c:v>
                </c:pt>
              </c:numCache>
            </c:numRef>
          </c:val>
          <c:extLst>
            <c:ext xmlns:c16="http://schemas.microsoft.com/office/drawing/2014/chart" uri="{C3380CC4-5D6E-409C-BE32-E72D297353CC}">
              <c16:uniqueId val="{00000011-4672-47A5-ADCB-6823029B5230}"/>
            </c:ext>
          </c:extLst>
        </c:ser>
        <c:ser>
          <c:idx val="18"/>
          <c:order val="18"/>
          <c:tx>
            <c:strRef>
              <c:f>'PC2.04_Ind02'!$B$35</c:f>
              <c:strCache>
                <c:ptCount val="1"/>
                <c:pt idx="0">
                  <c:v>Valor objectiu</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'PC2.04_Ind02'!$D$35:$J$35</c15:sqref>
                  </c15:fullRef>
                </c:ext>
              </c:extLst>
              <c:f>'PC2.04_Ind02'!$G$35:$J$35</c:f>
              <c:numCache>
                <c:formatCode>0.00%</c:formatCode>
                <c:ptCount val="4"/>
                <c:pt idx="0">
                  <c:v>0.25</c:v>
                </c:pt>
                <c:pt idx="1">
                  <c:v>0.25</c:v>
                </c:pt>
                <c:pt idx="2">
                  <c:v>0.25</c:v>
                </c:pt>
                <c:pt idx="3">
                  <c:v>0.25</c:v>
                </c:pt>
              </c:numCache>
            </c:numRef>
          </c:val>
          <c:extLst>
            <c:ext xmlns:c16="http://schemas.microsoft.com/office/drawing/2014/chart" uri="{C3380CC4-5D6E-409C-BE32-E72D297353CC}">
              <c16:uniqueId val="{00000012-4672-47A5-ADCB-6823029B5230}"/>
            </c:ext>
          </c:extLst>
        </c:ser>
        <c:dLbls>
          <c:showLegendKey val="0"/>
          <c:showVal val="0"/>
          <c:showCatName val="0"/>
          <c:showSerName val="0"/>
          <c:showPercent val="0"/>
          <c:showBubbleSize val="0"/>
        </c:dLbls>
        <c:gapWidth val="150"/>
        <c:axId val="1902692607"/>
        <c:axId val="1902704671"/>
        <c:extLst/>
      </c:barChart>
      <c:catAx>
        <c:axId val="1902692607"/>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02704671"/>
        <c:crosses val="autoZero"/>
        <c:auto val="1"/>
        <c:lblAlgn val="ctr"/>
        <c:lblOffset val="100"/>
        <c:noMultiLvlLbl val="0"/>
      </c:catAx>
      <c:valAx>
        <c:axId val="1902704671"/>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02692607"/>
        <c:crosses val="autoZero"/>
        <c:crossBetween val="between"/>
      </c:valAx>
      <c:spPr>
        <a:noFill/>
        <a:ln>
          <a:noFill/>
        </a:ln>
        <a:effectLst/>
      </c:spPr>
    </c:plotArea>
    <c:legend>
      <c:legendPos val="b"/>
      <c:layout>
        <c:manualLayout>
          <c:xMode val="edge"/>
          <c:yMode val="edge"/>
          <c:x val="9.8714333019972855E-3"/>
          <c:y val="0.78155364907744762"/>
          <c:w val="0.96445123021772994"/>
          <c:h val="0.134561140056497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PC2.04_Ind03. Taxa d’eficiència per titulació</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'PC2.04_Ind03'!$B$15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'PC2.04_Ind03'!$D$15:$J$15</c15:sqref>
                  </c15:fullRef>
                </c:ext>
              </c:extLst>
              <c:f>'PC2.04_Ind03'!$G$15:$J$15</c:f>
              <c:numCache>
                <c:formatCode>0.00%</c:formatCode>
                <c:ptCount val="4"/>
                <c:pt idx="0">
                  <c:v>0.93</c:v>
                </c:pt>
                <c:pt idx="1">
                  <c:v>0.92</c:v>
                </c:pt>
                <c:pt idx="2">
                  <c:v>0.94</c:v>
                </c:pt>
                <c:pt idx="3">
                  <c:v>0.92</c:v>
                </c:pt>
              </c:numCache>
            </c:numRef>
          </c:val>
          <c:extLst>
            <c:ext xmlns:c16="http://schemas.microsoft.com/office/drawing/2014/chart" uri="{C3380CC4-5D6E-409C-BE32-E72D297353CC}">
              <c16:uniqueId val="{00000000-20FF-4A51-8013-538BC8530E93}"/>
            </c:ext>
          </c:extLst>
        </c:ser>
        <c:ser>
          <c:idx val="1"/>
          <c:order val="1"/>
          <c:tx>
            <c:strRef>
              <c:f>'PC2.04_Ind03'!$B$16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'PC2.04_Ind03'!$D$16:$J$16</c15:sqref>
                  </c15:fullRef>
                </c:ext>
              </c:extLst>
              <c:f>'PC2.04_Ind03'!$G$16:$J$16</c:f>
              <c:numCache>
                <c:formatCode>0.00%</c:formatCode>
                <c:ptCount val="4"/>
                <c:pt idx="0">
                  <c:v>0.94</c:v>
                </c:pt>
                <c:pt idx="1">
                  <c:v>0.95</c:v>
                </c:pt>
                <c:pt idx="2">
                  <c:v>0.79</c:v>
                </c:pt>
                <c:pt idx="3">
                  <c:v>0.97</c:v>
                </c:pt>
              </c:numCache>
            </c:numRef>
          </c:val>
          <c:extLst>
            <c:ext xmlns:c16="http://schemas.microsoft.com/office/drawing/2014/chart" uri="{C3380CC4-5D6E-409C-BE32-E72D297353CC}">
              <c16:uniqueId val="{00000001-20FF-4A51-8013-538BC8530E93}"/>
            </c:ext>
          </c:extLst>
        </c:ser>
        <c:ser>
          <c:idx val="2"/>
          <c:order val="2"/>
          <c:tx>
            <c:strRef>
              <c:f>'PC2.04_Ind03'!$B$17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'PC2.04_Ind03'!$D$17:$J$17</c15:sqref>
                  </c15:fullRef>
                </c:ext>
              </c:extLst>
              <c:f>'PC2.04_Ind03'!$G$17:$J$17</c:f>
              <c:numCache>
                <c:formatCode>0.00%</c:formatCode>
                <c:ptCount val="4"/>
                <c:pt idx="0">
                  <c:v>0.84</c:v>
                </c:pt>
                <c:pt idx="1">
                  <c:v>0.71</c:v>
                </c:pt>
                <c:pt idx="2">
                  <c:v>0.96</c:v>
                </c:pt>
                <c:pt idx="3">
                  <c:v>0.94</c:v>
                </c:pt>
              </c:numCache>
            </c:numRef>
          </c:val>
          <c:extLst>
            <c:ext xmlns:c16="http://schemas.microsoft.com/office/drawing/2014/chart" uri="{C3380CC4-5D6E-409C-BE32-E72D297353CC}">
              <c16:uniqueId val="{00000002-20FF-4A51-8013-538BC8530E93}"/>
            </c:ext>
          </c:extLst>
        </c:ser>
        <c:ser>
          <c:idx val="3"/>
          <c:order val="3"/>
          <c:tx>
            <c:strRef>
              <c:f>'PC2.04_Ind03'!$B$18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'PC2.04_Ind03'!$D$18:$J$18</c15:sqref>
                  </c15:fullRef>
                </c:ext>
              </c:extLst>
              <c:f>'PC2.04_Ind03'!$G$18:$J$18</c:f>
              <c:numCache>
                <c:formatCode>0.00%</c:formatCode>
                <c:ptCount val="4"/>
                <c:pt idx="0">
                  <c:v>0.87</c:v>
                </c:pt>
                <c:pt idx="1">
                  <c:v>0.9</c:v>
                </c:pt>
                <c:pt idx="2">
                  <c:v>0.91</c:v>
                </c:pt>
                <c:pt idx="3">
                  <c:v>0.94</c:v>
                </c:pt>
              </c:numCache>
            </c:numRef>
          </c:val>
          <c:extLst>
            <c:ext xmlns:c16="http://schemas.microsoft.com/office/drawing/2014/chart" uri="{C3380CC4-5D6E-409C-BE32-E72D297353CC}">
              <c16:uniqueId val="{00000003-20FF-4A51-8013-538BC8530E93}"/>
            </c:ext>
          </c:extLst>
        </c:ser>
        <c:ser>
          <c:idx val="4"/>
          <c:order val="4"/>
          <c:tx>
            <c:strRef>
              <c:f>'PC2.04_Ind03'!$B$19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'PC2.04_Ind03'!$D$19:$J$19</c15:sqref>
                  </c15:fullRef>
                </c:ext>
              </c:extLst>
              <c:f>'PC2.04_Ind03'!$G$19:$J$19</c:f>
              <c:numCache>
                <c:formatCode>0.00%</c:formatCode>
                <c:ptCount val="4"/>
                <c:pt idx="0">
                  <c:v>0.99</c:v>
                </c:pt>
                <c:pt idx="1">
                  <c:v>0.98</c:v>
                </c:pt>
                <c:pt idx="2">
                  <c:v>0.98</c:v>
                </c:pt>
                <c:pt idx="3">
                  <c:v>0.99</c:v>
                </c:pt>
              </c:numCache>
            </c:numRef>
          </c:val>
          <c:extLst>
            <c:ext xmlns:c16="http://schemas.microsoft.com/office/drawing/2014/chart" uri="{C3380CC4-5D6E-409C-BE32-E72D297353CC}">
              <c16:uniqueId val="{00000004-20FF-4A51-8013-538BC8530E93}"/>
            </c:ext>
          </c:extLst>
        </c:ser>
        <c:ser>
          <c:idx val="5"/>
          <c:order val="5"/>
          <c:tx>
            <c:strRef>
              <c:f>'PC2.04_Ind03'!$B$20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'PC2.04_Ind03'!$D$20:$J$20</c15:sqref>
                  </c15:fullRef>
                </c:ext>
              </c:extLst>
              <c:f>'PC2.04_Ind03'!$G$20:$J$20</c:f>
              <c:numCache>
                <c:formatCode>0.00%</c:formatCode>
                <c:ptCount val="4"/>
                <c:pt idx="0">
                  <c:v>0.95</c:v>
                </c:pt>
                <c:pt idx="1">
                  <c:v>0</c:v>
                </c:pt>
                <c:pt idx="2">
                  <c:v>0</c:v>
                </c:pt>
                <c:pt idx="3">
                  <c:v>0.99</c:v>
                </c:pt>
              </c:numCache>
            </c:numRef>
          </c:val>
          <c:extLst>
            <c:ext xmlns:c16="http://schemas.microsoft.com/office/drawing/2014/chart" uri="{C3380CC4-5D6E-409C-BE32-E72D297353CC}">
              <c16:uniqueId val="{00000005-20FF-4A51-8013-538BC8530E93}"/>
            </c:ext>
          </c:extLst>
        </c:ser>
        <c:ser>
          <c:idx val="6"/>
          <c:order val="6"/>
          <c:tx>
            <c:strRef>
              <c:f>'PC2.04_Ind03'!$B$21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'PC2.04_Ind03'!$D$21:$J$21</c15:sqref>
                  </c15:fullRef>
                </c:ext>
              </c:extLst>
              <c:f>'PC2.04_Ind03'!$G$21:$J$21</c:f>
              <c:numCache>
                <c:formatCode>0.00%</c:formatCode>
                <c:ptCount val="4"/>
                <c:pt idx="0">
                  <c:v>0.84</c:v>
                </c:pt>
                <c:pt idx="1">
                  <c:v>0.81</c:v>
                </c:pt>
                <c:pt idx="2">
                  <c:v>0.87</c:v>
                </c:pt>
                <c:pt idx="3">
                  <c:v>0.83</c:v>
                </c:pt>
              </c:numCache>
            </c:numRef>
          </c:val>
          <c:extLst>
            <c:ext xmlns:c16="http://schemas.microsoft.com/office/drawing/2014/chart" uri="{C3380CC4-5D6E-409C-BE32-E72D297353CC}">
              <c16:uniqueId val="{00000006-20FF-4A51-8013-538BC8530E93}"/>
            </c:ext>
          </c:extLst>
        </c:ser>
        <c:ser>
          <c:idx val="7"/>
          <c:order val="7"/>
          <c:tx>
            <c:strRef>
              <c:f>'PC2.04_Ind03'!$B$22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'PC2.04_Ind03'!$D$22:$J$22</c15:sqref>
                  </c15:fullRef>
                </c:ext>
              </c:extLst>
              <c:f>'PC2.04_Ind03'!$G$22:$J$22</c:f>
              <c:numCache>
                <c:formatCode>0.00%</c:formatCode>
                <c:ptCount val="4"/>
                <c:pt idx="0">
                  <c:v>0</c:v>
                </c:pt>
                <c:pt idx="1">
                  <c:v>0.99</c:v>
                </c:pt>
                <c:pt idx="2">
                  <c:v>0.96</c:v>
                </c:pt>
                <c:pt idx="3">
                  <c:v>0.96</c:v>
                </c:pt>
              </c:numCache>
            </c:numRef>
          </c:val>
          <c:extLst>
            <c:ext xmlns:c16="http://schemas.microsoft.com/office/drawing/2014/chart" uri="{C3380CC4-5D6E-409C-BE32-E72D297353CC}">
              <c16:uniqueId val="{00000007-20FF-4A51-8013-538BC8530E93}"/>
            </c:ext>
          </c:extLst>
        </c:ser>
        <c:ser>
          <c:idx val="8"/>
          <c:order val="8"/>
          <c:tx>
            <c:strRef>
              <c:f>'PC2.04_Ind03'!$B$23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'PC2.04_Ind03'!$D$23:$J$23</c15:sqref>
                  </c15:fullRef>
                </c:ext>
              </c:extLst>
              <c:f>'PC2.04_Ind03'!$G$23:$J$23</c:f>
              <c:numCache>
                <c:formatCode>0.00%</c:formatCode>
                <c:ptCount val="4"/>
                <c:pt idx="0">
                  <c:v>0.83</c:v>
                </c:pt>
                <c:pt idx="1">
                  <c:v>0.84</c:v>
                </c:pt>
                <c:pt idx="2">
                  <c:v>0.89</c:v>
                </c:pt>
                <c:pt idx="3">
                  <c:v>0.85</c:v>
                </c:pt>
              </c:numCache>
            </c:numRef>
          </c:val>
          <c:extLst>
            <c:ext xmlns:c16="http://schemas.microsoft.com/office/drawing/2014/chart" uri="{C3380CC4-5D6E-409C-BE32-E72D297353CC}">
              <c16:uniqueId val="{00000008-20FF-4A51-8013-538BC8530E93}"/>
            </c:ext>
          </c:extLst>
        </c:ser>
        <c:ser>
          <c:idx val="9"/>
          <c:order val="9"/>
          <c:tx>
            <c:strRef>
              <c:f>'PC2.04_Ind03'!$B$24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'PC2.04_Ind03'!$D$24:$J$24</c15:sqref>
                  </c15:fullRef>
                </c:ext>
              </c:extLst>
              <c:f>'PC2.04_Ind03'!$G$24:$J$24</c:f>
              <c:numCache>
                <c:formatCode>0.00%</c:formatCode>
                <c:ptCount val="4"/>
                <c:pt idx="0">
                  <c:v>0.92</c:v>
                </c:pt>
                <c:pt idx="1">
                  <c:v>0.92</c:v>
                </c:pt>
                <c:pt idx="2">
                  <c:v>0.93</c:v>
                </c:pt>
                <c:pt idx="3">
                  <c:v>0.9</c:v>
                </c:pt>
              </c:numCache>
            </c:numRef>
          </c:val>
          <c:extLst>
            <c:ext xmlns:c16="http://schemas.microsoft.com/office/drawing/2014/chart" uri="{C3380CC4-5D6E-409C-BE32-E72D297353CC}">
              <c16:uniqueId val="{00000009-20FF-4A51-8013-538BC8530E93}"/>
            </c:ext>
          </c:extLst>
        </c:ser>
        <c:ser>
          <c:idx val="10"/>
          <c:order val="10"/>
          <c:tx>
            <c:strRef>
              <c:f>'PC2.04_Ind03'!$B$25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'PC2.04_Ind03'!$D$25:$J$25</c15:sqref>
                  </c15:fullRef>
                </c:ext>
              </c:extLst>
              <c:f>'PC2.04_Ind03'!$G$25:$J$25</c:f>
              <c:numCache>
                <c:formatCode>0.00%</c:formatCode>
                <c:ptCount val="4"/>
                <c:pt idx="0">
                  <c:v>0.87</c:v>
                </c:pt>
                <c:pt idx="1">
                  <c:v>0.86</c:v>
                </c:pt>
                <c:pt idx="2">
                  <c:v>0.71</c:v>
                </c:pt>
                <c:pt idx="3">
                  <c:v>0.87</c:v>
                </c:pt>
              </c:numCache>
            </c:numRef>
          </c:val>
          <c:extLst>
            <c:ext xmlns:c16="http://schemas.microsoft.com/office/drawing/2014/chart" uri="{C3380CC4-5D6E-409C-BE32-E72D297353CC}">
              <c16:uniqueId val="{0000000A-20FF-4A51-8013-538BC8530E93}"/>
            </c:ext>
          </c:extLst>
        </c:ser>
        <c:ser>
          <c:idx val="11"/>
          <c:order val="11"/>
          <c:tx>
            <c:strRef>
              <c:f>'PC2.04_Ind03'!$B$26</c:f>
              <c:strCache>
                <c:ptCount val="1"/>
                <c:pt idx="0">
                  <c:v>Estudis Interdisciplinaris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'PC2.04_Ind03'!$D$26:$J$26</c15:sqref>
                  </c15:fullRef>
                </c:ext>
              </c:extLst>
              <c:f>'PC2.04_Ind03'!$G$26:$J$26</c:f>
              <c:numCache>
                <c:formatCode>0.00%</c:formatCode>
                <c:ptCount val="4"/>
                <c:pt idx="0">
                  <c:v>1</c:v>
                </c:pt>
                <c:pt idx="1">
                  <c:v>1</c:v>
                </c:pt>
                <c:pt idx="2">
                  <c:v>1</c:v>
                </c:pt>
                <c:pt idx="3">
                  <c:v>0.99</c:v>
                </c:pt>
              </c:numCache>
            </c:numRef>
          </c:val>
          <c:extLst>
            <c:ext xmlns:c16="http://schemas.microsoft.com/office/drawing/2014/chart" uri="{C3380CC4-5D6E-409C-BE32-E72D297353CC}">
              <c16:uniqueId val="{0000000B-20FF-4A51-8013-538BC8530E93}"/>
            </c:ext>
          </c:extLst>
        </c:ser>
        <c:ser>
          <c:idx val="12"/>
          <c:order val="12"/>
          <c:tx>
            <c:strRef>
              <c:f>'PC2.04_Ind03'!$B$27</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'PC2.04_Ind03'!$D$27:$J$27</c15:sqref>
                  </c15:fullRef>
                </c:ext>
              </c:extLst>
              <c:f>'PC2.04_Ind03'!$G$27:$J$27</c:f>
              <c:numCache>
                <c:formatCode>0.00%</c:formatCode>
                <c:ptCount val="4"/>
                <c:pt idx="0">
                  <c:v>1</c:v>
                </c:pt>
                <c:pt idx="1">
                  <c:v>1</c:v>
                </c:pt>
                <c:pt idx="2">
                  <c:v>1</c:v>
                </c:pt>
                <c:pt idx="3">
                  <c:v>0.99</c:v>
                </c:pt>
              </c:numCache>
            </c:numRef>
          </c:val>
          <c:extLst>
            <c:ext xmlns:c16="http://schemas.microsoft.com/office/drawing/2014/chart" uri="{C3380CC4-5D6E-409C-BE32-E72D297353CC}">
              <c16:uniqueId val="{0000000C-20FF-4A51-8013-538BC8530E93}"/>
            </c:ext>
          </c:extLst>
        </c:ser>
        <c:ser>
          <c:idx val="13"/>
          <c:order val="13"/>
          <c:tx>
            <c:strRef>
              <c:f>'PC2.04_Ind03'!$B$28</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'PC2.04_Ind03'!$D$28:$J$28</c15:sqref>
                  </c15:fullRef>
                </c:ext>
              </c:extLst>
              <c:f>'PC2.04_Ind03'!$G$28:$J$28</c:f>
              <c:numCache>
                <c:formatCode>0.00%</c:formatCode>
                <c:ptCount val="4"/>
                <c:pt idx="0">
                  <c:v>0.97</c:v>
                </c:pt>
                <c:pt idx="1">
                  <c:v>0.98</c:v>
                </c:pt>
                <c:pt idx="2">
                  <c:v>1</c:v>
                </c:pt>
                <c:pt idx="3">
                  <c:v>0.99</c:v>
                </c:pt>
              </c:numCache>
            </c:numRef>
          </c:val>
          <c:extLst>
            <c:ext xmlns:c16="http://schemas.microsoft.com/office/drawing/2014/chart" uri="{C3380CC4-5D6E-409C-BE32-E72D297353CC}">
              <c16:uniqueId val="{0000000D-20FF-4A51-8013-538BC8530E93}"/>
            </c:ext>
          </c:extLst>
        </c:ser>
        <c:ser>
          <c:idx val="14"/>
          <c:order val="14"/>
          <c:tx>
            <c:strRef>
              <c:f>'PC2.04_Ind03'!$B$29</c:f>
              <c:strCache>
                <c:ptCount val="1"/>
                <c:pt idx="0">
                  <c:v>Modelització per a la Ciència i l'Enginyeria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'PC2.04_Ind03'!$D$29:$J$29</c15:sqref>
                  </c15:fullRef>
                </c:ext>
              </c:extLst>
              <c:f>'PC2.04_Ind03'!$G$29:$J$29</c:f>
              <c:numCache>
                <c:formatCode>0.00%</c:formatCode>
                <c:ptCount val="4"/>
                <c:pt idx="0">
                  <c:v>0.99</c:v>
                </c:pt>
                <c:pt idx="1">
                  <c:v>0.98</c:v>
                </c:pt>
                <c:pt idx="2">
                  <c:v>1</c:v>
                </c:pt>
                <c:pt idx="3">
                  <c:v>0.97</c:v>
                </c:pt>
              </c:numCache>
            </c:numRef>
          </c:val>
          <c:extLst>
            <c:ext xmlns:c16="http://schemas.microsoft.com/office/drawing/2014/chart" uri="{C3380CC4-5D6E-409C-BE32-E72D297353CC}">
              <c16:uniqueId val="{0000000E-20FF-4A51-8013-538BC8530E93}"/>
            </c:ext>
          </c:extLst>
        </c:ser>
        <c:ser>
          <c:idx val="15"/>
          <c:order val="15"/>
          <c:tx>
            <c:strRef>
              <c:f>'PC2.04_Ind03'!$B$30</c:f>
              <c:strCache>
                <c:ptCount val="1"/>
                <c:pt idx="0">
                  <c:v>Nanociència i Nanotecnologia Avançades</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'PC2.04_Ind03'!$D$30:$J$30</c15:sqref>
                  </c15:fullRef>
                </c:ext>
              </c:extLst>
              <c:f>'PC2.04_Ind03'!$G$30:$J$30</c:f>
              <c:numCache>
                <c:formatCode>0.00%</c:formatCode>
                <c:ptCount val="4"/>
                <c:pt idx="0">
                  <c:v>0.98</c:v>
                </c:pt>
                <c:pt idx="1">
                  <c:v>1</c:v>
                </c:pt>
                <c:pt idx="2">
                  <c:v>1</c:v>
                </c:pt>
                <c:pt idx="3">
                  <c:v>1</c:v>
                </c:pt>
              </c:numCache>
            </c:numRef>
          </c:val>
          <c:extLst>
            <c:ext xmlns:c16="http://schemas.microsoft.com/office/drawing/2014/chart" uri="{C3380CC4-5D6E-409C-BE32-E72D297353CC}">
              <c16:uniqueId val="{0000000F-20FF-4A51-8013-538BC8530E93}"/>
            </c:ext>
          </c:extLst>
        </c:ser>
        <c:ser>
          <c:idx val="16"/>
          <c:order val="16"/>
          <c:tx>
            <c:strRef>
              <c:f>'PC2.04_Ind03'!$B$31</c:f>
              <c:strCache>
                <c:ptCount val="1"/>
                <c:pt idx="0">
                  <c:v>Paleobiologia i Registre Fòssil</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'PC2.04_Ind03'!$D$31:$J$31</c15:sqref>
                  </c15:fullRef>
                </c:ext>
              </c:extLst>
              <c:f>'PC2.04_Ind03'!$G$31:$J$31</c:f>
              <c:numCache>
                <c:formatCode>0.00%</c:formatCode>
                <c:ptCount val="4"/>
                <c:pt idx="0">
                  <c:v>0.96</c:v>
                </c:pt>
                <c:pt idx="1">
                  <c:v>0</c:v>
                </c:pt>
                <c:pt idx="2">
                  <c:v>1</c:v>
                </c:pt>
                <c:pt idx="3">
                  <c:v>1</c:v>
                </c:pt>
              </c:numCache>
            </c:numRef>
          </c:val>
          <c:extLst>
            <c:ext xmlns:c16="http://schemas.microsoft.com/office/drawing/2014/chart" uri="{C3380CC4-5D6E-409C-BE32-E72D297353CC}">
              <c16:uniqueId val="{00000010-20FF-4A51-8013-538BC8530E93}"/>
            </c:ext>
          </c:extLst>
        </c:ser>
        <c:ser>
          <c:idx val="17"/>
          <c:order val="17"/>
          <c:tx>
            <c:strRef>
              <c:f>'PC2.04_Ind03'!$B$32</c:f>
              <c:strCache>
                <c:ptCount val="1"/>
                <c:pt idx="0">
                  <c:v>Química Industrial i Introducció a la Recerca de la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'PC2.04_Ind03'!$D$32:$J$32</c15:sqref>
                  </c15:fullRef>
                </c:ext>
              </c:extLst>
              <c:f>'PC2.04_Ind03'!$G$32:$J$32</c:f>
              <c:numCache>
                <c:formatCode>0.00%</c:formatCode>
                <c:ptCount val="4"/>
                <c:pt idx="0">
                  <c:v>0.98</c:v>
                </c:pt>
                <c:pt idx="1">
                  <c:v>0.97</c:v>
                </c:pt>
                <c:pt idx="2">
                  <c:v>1</c:v>
                </c:pt>
                <c:pt idx="3">
                  <c:v>1</c:v>
                </c:pt>
              </c:numCache>
            </c:numRef>
          </c:val>
          <c:extLst>
            <c:ext xmlns:c16="http://schemas.microsoft.com/office/drawing/2014/chart" uri="{C3380CC4-5D6E-409C-BE32-E72D297353CC}">
              <c16:uniqueId val="{00000011-20FF-4A51-8013-538BC8530E93}"/>
            </c:ext>
          </c:extLst>
        </c:ser>
        <c:dLbls>
          <c:showLegendKey val="0"/>
          <c:showVal val="0"/>
          <c:showCatName val="0"/>
          <c:showSerName val="0"/>
          <c:showPercent val="0"/>
          <c:showBubbleSize val="0"/>
        </c:dLbls>
        <c:gapWidth val="150"/>
        <c:axId val="2063604848"/>
        <c:axId val="1722342320"/>
      </c:barChart>
      <c:lineChart>
        <c:grouping val="standard"/>
        <c:varyColors val="0"/>
        <c:ser>
          <c:idx val="18"/>
          <c:order val="18"/>
          <c:tx>
            <c:strRef>
              <c:f>'PC2.04_Ind03'!$B$35</c:f>
              <c:strCache>
                <c:ptCount val="1"/>
                <c:pt idx="0">
                  <c:v>Valor objectiu</c:v>
                </c:pt>
              </c:strCache>
            </c:strRef>
          </c:tx>
          <c:spPr>
            <a:ln w="34925" cap="rnd">
              <a:solidFill>
                <a:schemeClr val="accent1">
                  <a:lumMod val="80000"/>
                </a:schemeClr>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rgbClr val="F1960F"/>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'PC2.04_Ind03'!$D$35:$J$35</c15:sqref>
                  </c15:fullRef>
                </c:ext>
              </c:extLst>
              <c:f>'PC2.04_Ind03'!$G$35:$J$35</c:f>
              <c:numCache>
                <c:formatCode>0.00%</c:formatCode>
                <c:ptCount val="4"/>
                <c:pt idx="0">
                  <c:v>0.75</c:v>
                </c:pt>
                <c:pt idx="1">
                  <c:v>0.75</c:v>
                </c:pt>
                <c:pt idx="2">
                  <c:v>0.75</c:v>
                </c:pt>
                <c:pt idx="3">
                  <c:v>0.75</c:v>
                </c:pt>
              </c:numCache>
            </c:numRef>
          </c:val>
          <c:smooth val="0"/>
          <c:extLst>
            <c:ext xmlns:c16="http://schemas.microsoft.com/office/drawing/2014/chart" uri="{C3380CC4-5D6E-409C-BE32-E72D297353CC}">
              <c16:uniqueId val="{00000012-20FF-4A51-8013-538BC8530E93}"/>
            </c:ext>
          </c:extLst>
        </c:ser>
        <c:dLbls>
          <c:showLegendKey val="0"/>
          <c:showVal val="0"/>
          <c:showCatName val="0"/>
          <c:showSerName val="0"/>
          <c:showPercent val="0"/>
          <c:showBubbleSize val="0"/>
        </c:dLbls>
        <c:marker val="1"/>
        <c:smooth val="0"/>
        <c:axId val="2063604848"/>
        <c:axId val="1722342320"/>
      </c:lineChart>
      <c:catAx>
        <c:axId val="2063604848"/>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22342320"/>
        <c:crosses val="autoZero"/>
        <c:auto val="1"/>
        <c:lblAlgn val="ctr"/>
        <c:lblOffset val="100"/>
        <c:noMultiLvlLbl val="0"/>
      </c:catAx>
      <c:valAx>
        <c:axId val="1722342320"/>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63604848"/>
        <c:crosses val="autoZero"/>
        <c:crossBetween val="between"/>
      </c:valAx>
      <c:spPr>
        <a:noFill/>
        <a:ln>
          <a:noFill/>
        </a:ln>
        <a:effectLst/>
      </c:spPr>
    </c:plotArea>
    <c:legend>
      <c:legendPos val="b"/>
      <c:layout>
        <c:manualLayout>
          <c:xMode val="edge"/>
          <c:yMode val="edge"/>
          <c:x val="5.7708468939653187E-2"/>
          <c:y val="0.86615763671248336"/>
          <c:w val="0.89080632028218643"/>
          <c:h val="0.1184725289171482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a:latin typeface="Calibri" panose="020F0502020204030204" pitchFamily="34" charset="0"/>
                <a:ea typeface="Calibri" panose="020F0502020204030204" pitchFamily="34" charset="0"/>
                <a:cs typeface="Calibri" panose="020F0502020204030204" pitchFamily="34" charset="0"/>
              </a:rPr>
              <a:t>PC2.04_Ind4. Nombre de titulacions amb una valoració global superior o igual a 3 sobre 4. (Enquesta d’assignatures)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'PC2.04_Ind4'!$B$15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'PC2.04_Ind4'!$D$15:$I$15</c15:sqref>
                  </c15:fullRef>
                </c:ext>
              </c:extLst>
              <c:f>'PC2.04_Ind4'!$F$15:$I$15</c:f>
              <c:numCache>
                <c:formatCode>0.00</c:formatCode>
                <c:ptCount val="4"/>
                <c:pt idx="0">
                  <c:v>3.02</c:v>
                </c:pt>
                <c:pt idx="1">
                  <c:v>3.09</c:v>
                </c:pt>
                <c:pt idx="2">
                  <c:v>3.0249999999999999</c:v>
                </c:pt>
                <c:pt idx="3">
                  <c:v>2.99</c:v>
                </c:pt>
              </c:numCache>
            </c:numRef>
          </c:val>
          <c:extLst>
            <c:ext xmlns:c16="http://schemas.microsoft.com/office/drawing/2014/chart" uri="{C3380CC4-5D6E-409C-BE32-E72D297353CC}">
              <c16:uniqueId val="{00000000-4C9E-4F21-9C43-BD4C545B3353}"/>
            </c:ext>
          </c:extLst>
        </c:ser>
        <c:ser>
          <c:idx val="1"/>
          <c:order val="1"/>
          <c:tx>
            <c:strRef>
              <c:f>'PC2.04_Ind4'!$B$16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'PC2.04_Ind4'!$D$16:$I$16</c15:sqref>
                  </c15:fullRef>
                </c:ext>
              </c:extLst>
              <c:f>'PC2.04_Ind4'!$F$16:$I$16</c:f>
              <c:numCache>
                <c:formatCode>0.00</c:formatCode>
                <c:ptCount val="4"/>
                <c:pt idx="0">
                  <c:v>0</c:v>
                </c:pt>
                <c:pt idx="1">
                  <c:v>0</c:v>
                </c:pt>
                <c:pt idx="2">
                  <c:v>0</c:v>
                </c:pt>
                <c:pt idx="3">
                  <c:v>3.06</c:v>
                </c:pt>
              </c:numCache>
            </c:numRef>
          </c:val>
          <c:extLst>
            <c:ext xmlns:c16="http://schemas.microsoft.com/office/drawing/2014/chart" uri="{C3380CC4-5D6E-409C-BE32-E72D297353CC}">
              <c16:uniqueId val="{00000001-4C9E-4F21-9C43-BD4C545B3353}"/>
            </c:ext>
          </c:extLst>
        </c:ser>
        <c:ser>
          <c:idx val="2"/>
          <c:order val="2"/>
          <c:tx>
            <c:strRef>
              <c:f>'PC2.04_Ind4'!$B$17</c:f>
              <c:strCache>
                <c:ptCount val="1"/>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'PC2.04_Ind4'!$D$17:$I$17</c15:sqref>
                  </c15:fullRef>
                </c:ext>
              </c:extLst>
              <c:f>'PC2.04_Ind4'!$F$17:$I$17</c:f>
              <c:numCache>
                <c:formatCode>0.00</c:formatCode>
                <c:ptCount val="4"/>
                <c:pt idx="0">
                  <c:v>2.57</c:v>
                </c:pt>
                <c:pt idx="1">
                  <c:v>3.17</c:v>
                </c:pt>
                <c:pt idx="2">
                  <c:v>3.0950000000000002</c:v>
                </c:pt>
                <c:pt idx="3">
                  <c:v>3.0150000000000001</c:v>
                </c:pt>
              </c:numCache>
            </c:numRef>
          </c:val>
          <c:extLst>
            <c:ext xmlns:c16="http://schemas.microsoft.com/office/drawing/2014/chart" uri="{C3380CC4-5D6E-409C-BE32-E72D297353CC}">
              <c16:uniqueId val="{00000002-4C9E-4F21-9C43-BD4C545B3353}"/>
            </c:ext>
          </c:extLst>
        </c:ser>
        <c:ser>
          <c:idx val="3"/>
          <c:order val="3"/>
          <c:tx>
            <c:strRef>
              <c:f>'PC2.04_Ind4'!$B$18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'PC2.04_Ind4'!$D$18:$I$18</c15:sqref>
                  </c15:fullRef>
                </c:ext>
              </c:extLst>
              <c:f>'PC2.04_Ind4'!$F$18:$I$18</c:f>
              <c:numCache>
                <c:formatCode>0.00</c:formatCode>
                <c:ptCount val="4"/>
                <c:pt idx="0">
                  <c:v>3.16</c:v>
                </c:pt>
                <c:pt idx="1">
                  <c:v>3.25</c:v>
                </c:pt>
                <c:pt idx="2">
                  <c:v>3.1749999999999998</c:v>
                </c:pt>
                <c:pt idx="3">
                  <c:v>3.16</c:v>
                </c:pt>
              </c:numCache>
            </c:numRef>
          </c:val>
          <c:extLst>
            <c:ext xmlns:c16="http://schemas.microsoft.com/office/drawing/2014/chart" uri="{C3380CC4-5D6E-409C-BE32-E72D297353CC}">
              <c16:uniqueId val="{00000003-4C9E-4F21-9C43-BD4C545B3353}"/>
            </c:ext>
          </c:extLst>
        </c:ser>
        <c:ser>
          <c:idx val="4"/>
          <c:order val="4"/>
          <c:tx>
            <c:strRef>
              <c:f>'PC2.04_Ind4'!$B$19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'PC2.04_Ind4'!$D$19:$I$19</c15:sqref>
                  </c15:fullRef>
                </c:ext>
              </c:extLst>
              <c:f>'PC2.04_Ind4'!$F$19:$I$19</c:f>
              <c:numCache>
                <c:formatCode>0.00</c:formatCode>
                <c:ptCount val="4"/>
                <c:pt idx="0">
                  <c:v>3.16</c:v>
                </c:pt>
                <c:pt idx="1">
                  <c:v>3.19</c:v>
                </c:pt>
                <c:pt idx="2">
                  <c:v>3.11</c:v>
                </c:pt>
                <c:pt idx="3">
                  <c:v>3.105</c:v>
                </c:pt>
              </c:numCache>
            </c:numRef>
          </c:val>
          <c:extLst>
            <c:ext xmlns:c16="http://schemas.microsoft.com/office/drawing/2014/chart" uri="{C3380CC4-5D6E-409C-BE32-E72D297353CC}">
              <c16:uniqueId val="{00000004-4C9E-4F21-9C43-BD4C545B3353}"/>
            </c:ext>
          </c:extLst>
        </c:ser>
        <c:ser>
          <c:idx val="5"/>
          <c:order val="5"/>
          <c:tx>
            <c:strRef>
              <c:f>'PC2.04_Ind4'!$B$20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'PC2.04_Ind4'!$D$20:$I$20</c15:sqref>
                  </c15:fullRef>
                </c:ext>
              </c:extLst>
              <c:f>'PC2.04_Ind4'!$F$20:$I$20</c:f>
              <c:numCache>
                <c:formatCode>0.00</c:formatCode>
                <c:ptCount val="4"/>
                <c:pt idx="0">
                  <c:v>2.99</c:v>
                </c:pt>
                <c:pt idx="1">
                  <c:v>2.99</c:v>
                </c:pt>
                <c:pt idx="2">
                  <c:v>3.04</c:v>
                </c:pt>
                <c:pt idx="3">
                  <c:v>3.1150000000000002</c:v>
                </c:pt>
              </c:numCache>
            </c:numRef>
          </c:val>
          <c:extLst>
            <c:ext xmlns:c16="http://schemas.microsoft.com/office/drawing/2014/chart" uri="{C3380CC4-5D6E-409C-BE32-E72D297353CC}">
              <c16:uniqueId val="{00000005-4C9E-4F21-9C43-BD4C545B3353}"/>
            </c:ext>
          </c:extLst>
        </c:ser>
        <c:ser>
          <c:idx val="6"/>
          <c:order val="6"/>
          <c:tx>
            <c:strRef>
              <c:f>'PC2.04_Ind4'!$B$21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'PC2.04_Ind4'!$D$21:$I$21</c15:sqref>
                  </c15:fullRef>
                </c:ext>
              </c:extLst>
              <c:f>'PC2.04_Ind4'!$F$21:$I$21</c:f>
              <c:numCache>
                <c:formatCode>0.00</c:formatCode>
                <c:ptCount val="4"/>
                <c:pt idx="0">
                  <c:v>2.99</c:v>
                </c:pt>
                <c:pt idx="1">
                  <c:v>3.19</c:v>
                </c:pt>
                <c:pt idx="2">
                  <c:v>3.0550000000000002</c:v>
                </c:pt>
                <c:pt idx="3">
                  <c:v>3.01</c:v>
                </c:pt>
              </c:numCache>
            </c:numRef>
          </c:val>
          <c:extLst>
            <c:ext xmlns:c16="http://schemas.microsoft.com/office/drawing/2014/chart" uri="{C3380CC4-5D6E-409C-BE32-E72D297353CC}">
              <c16:uniqueId val="{00000006-4C9E-4F21-9C43-BD4C545B3353}"/>
            </c:ext>
          </c:extLst>
        </c:ser>
        <c:ser>
          <c:idx val="7"/>
          <c:order val="7"/>
          <c:tx>
            <c:strRef>
              <c:f>'PC2.04_Ind4'!$B$22</c:f>
              <c:strCache>
                <c:ptCount val="1"/>
                <c:pt idx="0">
                  <c:v>Matemàtica Computacional</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'PC2.04_Ind4'!$D$22:$I$22</c15:sqref>
                  </c15:fullRef>
                </c:ext>
              </c:extLst>
              <c:f>'PC2.04_Ind4'!$F$22:$I$22</c:f>
              <c:numCache>
                <c:formatCode>0.00</c:formatCode>
                <c:ptCount val="4"/>
                <c:pt idx="0">
                  <c:v>3.13</c:v>
                </c:pt>
                <c:pt idx="1">
                  <c:v>3.22</c:v>
                </c:pt>
                <c:pt idx="2">
                  <c:v>3.0750000000000002</c:v>
                </c:pt>
                <c:pt idx="3">
                  <c:v>3.33</c:v>
                </c:pt>
              </c:numCache>
            </c:numRef>
          </c:val>
          <c:extLst>
            <c:ext xmlns:c16="http://schemas.microsoft.com/office/drawing/2014/chart" uri="{C3380CC4-5D6E-409C-BE32-E72D297353CC}">
              <c16:uniqueId val="{00000007-4C9E-4F21-9C43-BD4C545B3353}"/>
            </c:ext>
          </c:extLst>
        </c:ser>
        <c:ser>
          <c:idx val="8"/>
          <c:order val="8"/>
          <c:tx>
            <c:strRef>
              <c:f>'PC2.04_Ind4'!$B$23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'PC2.04_Ind4'!$D$23:$I$23</c15:sqref>
                  </c15:fullRef>
                </c:ext>
              </c:extLst>
              <c:f>'PC2.04_Ind4'!$F$23:$I$23</c:f>
              <c:numCache>
                <c:formatCode>0.00</c:formatCode>
                <c:ptCount val="4"/>
                <c:pt idx="0">
                  <c:v>3.3</c:v>
                </c:pt>
                <c:pt idx="1">
                  <c:v>3.26</c:v>
                </c:pt>
                <c:pt idx="2">
                  <c:v>3.36</c:v>
                </c:pt>
                <c:pt idx="3">
                  <c:v>3.29</c:v>
                </c:pt>
              </c:numCache>
            </c:numRef>
          </c:val>
          <c:extLst>
            <c:ext xmlns:c16="http://schemas.microsoft.com/office/drawing/2014/chart" uri="{C3380CC4-5D6E-409C-BE32-E72D297353CC}">
              <c16:uniqueId val="{00000008-4C9E-4F21-9C43-BD4C545B3353}"/>
            </c:ext>
          </c:extLst>
        </c:ser>
        <c:ser>
          <c:idx val="9"/>
          <c:order val="9"/>
          <c:tx>
            <c:strRef>
              <c:f>'PC2.04_Ind4'!$B$24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'PC2.04_Ind4'!$D$24:$I$24</c15:sqref>
                  </c15:fullRef>
                </c:ext>
              </c:extLst>
              <c:f>'PC2.04_Ind4'!$F$24:$I$24</c:f>
              <c:numCache>
                <c:formatCode>0.00</c:formatCode>
                <c:ptCount val="4"/>
                <c:pt idx="0">
                  <c:v>3.07</c:v>
                </c:pt>
                <c:pt idx="1">
                  <c:v>3.28</c:v>
                </c:pt>
                <c:pt idx="2">
                  <c:v>3.26</c:v>
                </c:pt>
                <c:pt idx="3">
                  <c:v>3.2149999999999999</c:v>
                </c:pt>
              </c:numCache>
            </c:numRef>
          </c:val>
          <c:extLst>
            <c:ext xmlns:c16="http://schemas.microsoft.com/office/drawing/2014/chart" uri="{C3380CC4-5D6E-409C-BE32-E72D297353CC}">
              <c16:uniqueId val="{00000009-4C9E-4F21-9C43-BD4C545B3353}"/>
            </c:ext>
          </c:extLst>
        </c:ser>
        <c:ser>
          <c:idx val="10"/>
          <c:order val="10"/>
          <c:tx>
            <c:strRef>
              <c:f>'PC2.04_Ind4'!$B$25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'PC2.04_Ind4'!$D$25:$I$25</c15:sqref>
                  </c15:fullRef>
                </c:ext>
              </c:extLst>
              <c:f>'PC2.04_Ind4'!$F$25:$I$25</c:f>
              <c:numCache>
                <c:formatCode>0.00</c:formatCode>
                <c:ptCount val="4"/>
                <c:pt idx="0">
                  <c:v>3.08</c:v>
                </c:pt>
                <c:pt idx="1">
                  <c:v>3.22</c:v>
                </c:pt>
                <c:pt idx="2">
                  <c:v>3.1949999999999998</c:v>
                </c:pt>
                <c:pt idx="3">
                  <c:v>3.2349999999999999</c:v>
                </c:pt>
              </c:numCache>
            </c:numRef>
          </c:val>
          <c:extLst>
            <c:ext xmlns:c16="http://schemas.microsoft.com/office/drawing/2014/chart" uri="{C3380CC4-5D6E-409C-BE32-E72D297353CC}">
              <c16:uniqueId val="{0000000A-4C9E-4F21-9C43-BD4C545B3353}"/>
            </c:ext>
          </c:extLst>
        </c:ser>
        <c:ser>
          <c:idx val="11"/>
          <c:order val="11"/>
          <c:tx>
            <c:strRef>
              <c:f>'PC2.04_Ind4'!$B$26</c:f>
              <c:strCache>
                <c:ptCount val="1"/>
                <c:pt idx="0">
                  <c:v>Estudis Interdisciplinaris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'PC2.04_Ind4'!$D$26:$I$26</c15:sqref>
                  </c15:fullRef>
                </c:ext>
              </c:extLst>
              <c:f>'PC2.04_Ind4'!$F$26:$I$26</c:f>
              <c:numCache>
                <c:formatCode>0.00</c:formatCode>
                <c:ptCount val="4"/>
                <c:pt idx="0">
                  <c:v>0</c:v>
                </c:pt>
                <c:pt idx="1">
                  <c:v>3.62</c:v>
                </c:pt>
                <c:pt idx="2">
                  <c:v>3.32</c:v>
                </c:pt>
                <c:pt idx="3">
                  <c:v>3.3149999999999999</c:v>
                </c:pt>
              </c:numCache>
            </c:numRef>
          </c:val>
          <c:extLst>
            <c:ext xmlns:c16="http://schemas.microsoft.com/office/drawing/2014/chart" uri="{C3380CC4-5D6E-409C-BE32-E72D297353CC}">
              <c16:uniqueId val="{0000000B-4C9E-4F21-9C43-BD4C545B3353}"/>
            </c:ext>
          </c:extLst>
        </c:ser>
        <c:ser>
          <c:idx val="12"/>
          <c:order val="12"/>
          <c:tx>
            <c:strRef>
              <c:f>'PC2.04_Ind4'!$B$27</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'PC2.04_Ind4'!$D$27:$I$27</c15:sqref>
                  </c15:fullRef>
                </c:ext>
              </c:extLst>
              <c:f>'PC2.04_Ind4'!$F$27:$I$27</c:f>
              <c:numCache>
                <c:formatCode>0.00</c:formatCode>
                <c:ptCount val="4"/>
                <c:pt idx="0">
                  <c:v>3.4</c:v>
                </c:pt>
                <c:pt idx="1">
                  <c:v>3.12</c:v>
                </c:pt>
                <c:pt idx="2">
                  <c:v>3.89</c:v>
                </c:pt>
                <c:pt idx="3">
                  <c:v>3.2</c:v>
                </c:pt>
              </c:numCache>
            </c:numRef>
          </c:val>
          <c:extLst>
            <c:ext xmlns:c16="http://schemas.microsoft.com/office/drawing/2014/chart" uri="{C3380CC4-5D6E-409C-BE32-E72D297353CC}">
              <c16:uniqueId val="{0000000C-4C9E-4F21-9C43-BD4C545B3353}"/>
            </c:ext>
          </c:extLst>
        </c:ser>
        <c:ser>
          <c:idx val="13"/>
          <c:order val="13"/>
          <c:tx>
            <c:strRef>
              <c:f>'PC2.04_Ind4'!$B$28</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'PC2.04_Ind4'!$D$28:$I$28</c15:sqref>
                  </c15:fullRef>
                </c:ext>
              </c:extLst>
              <c:f>'PC2.04_Ind4'!$F$28:$I$28</c:f>
              <c:numCache>
                <c:formatCode>0.00</c:formatCode>
                <c:ptCount val="4"/>
                <c:pt idx="0">
                  <c:v>3.63</c:v>
                </c:pt>
                <c:pt idx="1">
                  <c:v>3.64</c:v>
                </c:pt>
                <c:pt idx="2">
                  <c:v>3.54</c:v>
                </c:pt>
                <c:pt idx="3">
                  <c:v>3.23</c:v>
                </c:pt>
              </c:numCache>
            </c:numRef>
          </c:val>
          <c:extLst>
            <c:ext xmlns:c16="http://schemas.microsoft.com/office/drawing/2014/chart" uri="{C3380CC4-5D6E-409C-BE32-E72D297353CC}">
              <c16:uniqueId val="{0000000D-4C9E-4F21-9C43-BD4C545B3353}"/>
            </c:ext>
          </c:extLst>
        </c:ser>
        <c:ser>
          <c:idx val="14"/>
          <c:order val="14"/>
          <c:tx>
            <c:strRef>
              <c:f>'PC2.04_Ind4'!$B$29</c:f>
              <c:strCache>
                <c:ptCount val="1"/>
                <c:pt idx="0">
                  <c:v>Modelització per a la Ciència i l'Enginyeria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'PC2.04_Ind4'!$D$29:$I$29</c15:sqref>
                  </c15:fullRef>
                </c:ext>
              </c:extLst>
              <c:f>'PC2.04_Ind4'!$F$29:$I$29</c:f>
              <c:numCache>
                <c:formatCode>0.00</c:formatCode>
                <c:ptCount val="4"/>
                <c:pt idx="0">
                  <c:v>2.77</c:v>
                </c:pt>
                <c:pt idx="1">
                  <c:v>3.09</c:v>
                </c:pt>
                <c:pt idx="2">
                  <c:v>0</c:v>
                </c:pt>
                <c:pt idx="3">
                  <c:v>0</c:v>
                </c:pt>
              </c:numCache>
            </c:numRef>
          </c:val>
          <c:extLst>
            <c:ext xmlns:c16="http://schemas.microsoft.com/office/drawing/2014/chart" uri="{C3380CC4-5D6E-409C-BE32-E72D297353CC}">
              <c16:uniqueId val="{0000000E-4C9E-4F21-9C43-BD4C545B3353}"/>
            </c:ext>
          </c:extLst>
        </c:ser>
        <c:ser>
          <c:idx val="15"/>
          <c:order val="15"/>
          <c:tx>
            <c:strRef>
              <c:f>'PC2.04_Ind4'!$B$30</c:f>
              <c:strCache>
                <c:ptCount val="1"/>
                <c:pt idx="0">
                  <c:v>Nanociència i Nanotecnologia Avançades</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'PC2.04_Ind4'!$D$30:$I$30</c15:sqref>
                  </c15:fullRef>
                </c:ext>
              </c:extLst>
              <c:f>'PC2.04_Ind4'!$F$30:$I$30</c:f>
              <c:numCache>
                <c:formatCode>0.00</c:formatCode>
                <c:ptCount val="4"/>
                <c:pt idx="0">
                  <c:v>0</c:v>
                </c:pt>
                <c:pt idx="1">
                  <c:v>2.52</c:v>
                </c:pt>
                <c:pt idx="2">
                  <c:v>3.09</c:v>
                </c:pt>
                <c:pt idx="3">
                  <c:v>3.05</c:v>
                </c:pt>
              </c:numCache>
            </c:numRef>
          </c:val>
          <c:extLst>
            <c:ext xmlns:c16="http://schemas.microsoft.com/office/drawing/2014/chart" uri="{C3380CC4-5D6E-409C-BE32-E72D297353CC}">
              <c16:uniqueId val="{0000000F-4C9E-4F21-9C43-BD4C545B3353}"/>
            </c:ext>
          </c:extLst>
        </c:ser>
        <c:ser>
          <c:idx val="16"/>
          <c:order val="16"/>
          <c:tx>
            <c:strRef>
              <c:f>'PC2.04_Ind4'!$B$31</c:f>
              <c:strCache>
                <c:ptCount val="1"/>
                <c:pt idx="0">
                  <c:v>Paleobiologia i Registre Fòssil</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'PC2.04_Ind4'!$D$31:$I$31</c15:sqref>
                  </c15:fullRef>
                </c:ext>
              </c:extLst>
              <c:f>'PC2.04_Ind4'!$F$31:$I$31</c:f>
              <c:numCache>
                <c:formatCode>0.00</c:formatCode>
                <c:ptCount val="4"/>
                <c:pt idx="0">
                  <c:v>0</c:v>
                </c:pt>
                <c:pt idx="1">
                  <c:v>0</c:v>
                </c:pt>
                <c:pt idx="2">
                  <c:v>1.7549999999999999</c:v>
                </c:pt>
                <c:pt idx="3">
                  <c:v>3.03</c:v>
                </c:pt>
              </c:numCache>
            </c:numRef>
          </c:val>
          <c:extLst>
            <c:ext xmlns:c16="http://schemas.microsoft.com/office/drawing/2014/chart" uri="{C3380CC4-5D6E-409C-BE32-E72D297353CC}">
              <c16:uniqueId val="{00000010-4C9E-4F21-9C43-BD4C545B3353}"/>
            </c:ext>
          </c:extLst>
        </c:ser>
        <c:ser>
          <c:idx val="17"/>
          <c:order val="17"/>
          <c:tx>
            <c:strRef>
              <c:f>'PC2.04_Ind4'!$B$32</c:f>
              <c:strCache>
                <c:ptCount val="1"/>
                <c:pt idx="0">
                  <c:v>Química Industrial i Introducció a la Recerca de la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'PC2.04_Ind4'!$D$32:$I$32</c15:sqref>
                  </c15:fullRef>
                </c:ext>
              </c:extLst>
              <c:f>'PC2.04_Ind4'!$F$32:$I$32</c:f>
              <c:numCache>
                <c:formatCode>0.00</c:formatCode>
                <c:ptCount val="4"/>
                <c:pt idx="0">
                  <c:v>0</c:v>
                </c:pt>
                <c:pt idx="1">
                  <c:v>0</c:v>
                </c:pt>
                <c:pt idx="2">
                  <c:v>1.52</c:v>
                </c:pt>
                <c:pt idx="3">
                  <c:v>4</c:v>
                </c:pt>
              </c:numCache>
            </c:numRef>
          </c:val>
          <c:extLst>
            <c:ext xmlns:c16="http://schemas.microsoft.com/office/drawing/2014/chart" uri="{C3380CC4-5D6E-409C-BE32-E72D297353CC}">
              <c16:uniqueId val="{00000011-4C9E-4F21-9C43-BD4C545B3353}"/>
            </c:ext>
          </c:extLst>
        </c:ser>
        <c:dLbls>
          <c:showLegendKey val="0"/>
          <c:showVal val="0"/>
          <c:showCatName val="0"/>
          <c:showSerName val="0"/>
          <c:showPercent val="0"/>
          <c:showBubbleSize val="0"/>
        </c:dLbls>
        <c:gapWidth val="150"/>
        <c:axId val="2063631296"/>
        <c:axId val="1818362032"/>
      </c:barChart>
      <c:lineChart>
        <c:grouping val="standard"/>
        <c:varyColors val="0"/>
        <c:ser>
          <c:idx val="18"/>
          <c:order val="18"/>
          <c:tx>
            <c:strRef>
              <c:f>'PC2.04_Ind4'!$B$36</c:f>
              <c:strCache>
                <c:ptCount val="1"/>
                <c:pt idx="0">
                  <c:v>Paràmetre</c:v>
                </c:pt>
              </c:strCache>
            </c:strRef>
          </c:tx>
          <c:spPr>
            <a:ln w="34925" cap="rnd">
              <a:solidFill>
                <a:schemeClr val="accent1">
                  <a:lumMod val="80000"/>
                </a:schemeClr>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rgbClr val="F1960F"/>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'PC2.04_Ind4'!$D$36:$I$36</c15:sqref>
                  </c15:fullRef>
                </c:ext>
              </c:extLst>
              <c:f>'PC2.04_Ind4'!$F$36:$I$36</c:f>
              <c:numCache>
                <c:formatCode>0</c:formatCode>
                <c:ptCount val="4"/>
                <c:pt idx="0">
                  <c:v>3</c:v>
                </c:pt>
                <c:pt idx="1">
                  <c:v>3</c:v>
                </c:pt>
                <c:pt idx="2">
                  <c:v>3</c:v>
                </c:pt>
                <c:pt idx="3">
                  <c:v>3</c:v>
                </c:pt>
              </c:numCache>
            </c:numRef>
          </c:val>
          <c:smooth val="0"/>
          <c:extLst>
            <c:ext xmlns:c16="http://schemas.microsoft.com/office/drawing/2014/chart" uri="{C3380CC4-5D6E-409C-BE32-E72D297353CC}">
              <c16:uniqueId val="{00000012-4C9E-4F21-9C43-BD4C545B3353}"/>
            </c:ext>
          </c:extLst>
        </c:ser>
        <c:dLbls>
          <c:showLegendKey val="0"/>
          <c:showVal val="0"/>
          <c:showCatName val="0"/>
          <c:showSerName val="0"/>
          <c:showPercent val="0"/>
          <c:showBubbleSize val="0"/>
        </c:dLbls>
        <c:marker val="1"/>
        <c:smooth val="0"/>
        <c:axId val="2063631296"/>
        <c:axId val="1818362032"/>
      </c:lineChart>
      <c:catAx>
        <c:axId val="2063631296"/>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818362032"/>
        <c:crosses val="autoZero"/>
        <c:auto val="1"/>
        <c:lblAlgn val="ctr"/>
        <c:lblOffset val="100"/>
        <c:noMultiLvlLbl val="0"/>
      </c:catAx>
      <c:valAx>
        <c:axId val="1818362032"/>
        <c:scaling>
          <c:orientation val="minMax"/>
          <c:max val="4"/>
          <c:min val="0"/>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63631296"/>
        <c:crosses val="autoZero"/>
        <c:crossBetween val="between"/>
      </c:valAx>
      <c:spPr>
        <a:noFill/>
        <a:ln>
          <a:noFill/>
        </a:ln>
        <a:effectLst/>
      </c:spPr>
    </c:plotArea>
    <c:legend>
      <c:legendPos val="b"/>
      <c:layout>
        <c:manualLayout>
          <c:xMode val="edge"/>
          <c:yMode val="edge"/>
          <c:x val="2.7059342320429086E-2"/>
          <c:y val="0.6230490258060809"/>
          <c:w val="0.94615840355333947"/>
          <c:h val="0.307281261375174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200" b="1" i="0" u="none" strike="noStrike" baseline="0">
                <a:effectLst>
                  <a:outerShdw blurRad="50800" dist="38100" dir="5400000" algn="t" rotWithShape="0">
                    <a:prstClr val="black">
                      <a:alpha val="40000"/>
                    </a:prstClr>
                  </a:outerShdw>
                </a:effectLst>
              </a:rPr>
              <a:t>PE1.01_Ind03. Número d’accions implantades, a la Facultat de Ciències, directament relacionades amb els ODS (Pla Estratègic 2022/2023 fins 2024/2025)</a:t>
            </a:r>
            <a:endParaRPr lang="es-ES" sz="12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'PE1.01_Ind03 '!$A$14:$B$14</c:f>
              <c:strCache>
                <c:ptCount val="2"/>
                <c:pt idx="0">
                  <c:v>Valor real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1"/>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0-3AEF-400A-8384-C94C2098B480}"/>
              </c:ext>
            </c:extLst>
          </c:dPt>
          <c:cat>
            <c:strRef>
              <c:f>'PE1.01_Ind03 '!$C$13:$D$13</c:f>
              <c:strCache>
                <c:ptCount val="2"/>
                <c:pt idx="0">
                  <c:v>2022/2023</c:v>
                </c:pt>
                <c:pt idx="1">
                  <c:v>2023/2024</c:v>
                </c:pt>
              </c:strCache>
            </c:strRef>
          </c:cat>
          <c:val>
            <c:numRef>
              <c:f>'PE1.01_Ind03 '!$C$14:$D$14</c:f>
              <c:numCache>
                <c:formatCode>General</c:formatCode>
                <c:ptCount val="2"/>
                <c:pt idx="0">
                  <c:v>9</c:v>
                </c:pt>
                <c:pt idx="1">
                  <c:v>5</c:v>
                </c:pt>
              </c:numCache>
            </c:numRef>
          </c:val>
          <c:extLst>
            <c:ext xmlns:c16="http://schemas.microsoft.com/office/drawing/2014/chart" uri="{C3380CC4-5D6E-409C-BE32-E72D297353CC}">
              <c16:uniqueId val="{00000000-5EA3-4119-8CA5-D76F403645BE}"/>
            </c:ext>
          </c:extLst>
        </c:ser>
        <c:dLbls>
          <c:showLegendKey val="0"/>
          <c:showVal val="0"/>
          <c:showCatName val="0"/>
          <c:showSerName val="0"/>
          <c:showPercent val="0"/>
          <c:showBubbleSize val="0"/>
        </c:dLbls>
        <c:gapWidth val="219"/>
        <c:axId val="1330950288"/>
        <c:axId val="1259630768"/>
      </c:barChart>
      <c:lineChart>
        <c:grouping val="standard"/>
        <c:varyColors val="0"/>
        <c:ser>
          <c:idx val="1"/>
          <c:order val="1"/>
          <c:tx>
            <c:strRef>
              <c:f>'PE1.01_Ind03 '!$A$15:$B$15</c:f>
              <c:strCache>
                <c:ptCount val="2"/>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dPt>
            <c:idx val="1"/>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bubble3D val="0"/>
            <c:spPr>
              <a:ln w="34925" cap="rnd">
                <a:solidFill>
                  <a:schemeClr val="accent2"/>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3AEF-400A-8384-C94C2098B480}"/>
              </c:ext>
            </c:extLst>
          </c:dPt>
          <c:cat>
            <c:strRef>
              <c:f>'PE1.01_Ind03 '!$C$13:$D$13</c:f>
              <c:strCache>
                <c:ptCount val="2"/>
                <c:pt idx="0">
                  <c:v>2022/2023</c:v>
                </c:pt>
                <c:pt idx="1">
                  <c:v>2023/2024</c:v>
                </c:pt>
              </c:strCache>
            </c:strRef>
          </c:cat>
          <c:val>
            <c:numRef>
              <c:f>'PE1.01_Ind03 '!$C$15:$D$15</c:f>
              <c:numCache>
                <c:formatCode>General</c:formatCode>
                <c:ptCount val="2"/>
                <c:pt idx="0">
                  <c:v>3</c:v>
                </c:pt>
                <c:pt idx="1">
                  <c:v>3</c:v>
                </c:pt>
              </c:numCache>
            </c:numRef>
          </c:val>
          <c:smooth val="0"/>
          <c:extLst>
            <c:ext xmlns:c16="http://schemas.microsoft.com/office/drawing/2014/chart" uri="{C3380CC4-5D6E-409C-BE32-E72D297353CC}">
              <c16:uniqueId val="{00000000-BD76-442B-9077-DF5F9B292B87}"/>
            </c:ext>
          </c:extLst>
        </c:ser>
        <c:dLbls>
          <c:showLegendKey val="0"/>
          <c:showVal val="0"/>
          <c:showCatName val="0"/>
          <c:showSerName val="0"/>
          <c:showPercent val="0"/>
          <c:showBubbleSize val="0"/>
        </c:dLbls>
        <c:marker val="1"/>
        <c:smooth val="0"/>
        <c:axId val="1330950288"/>
        <c:axId val="1259630768"/>
      </c:lineChart>
      <c:catAx>
        <c:axId val="13309502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59630768"/>
        <c:crosses val="autoZero"/>
        <c:auto val="1"/>
        <c:lblAlgn val="ctr"/>
        <c:lblOffset val="100"/>
        <c:noMultiLvlLbl val="0"/>
      </c:catAx>
      <c:valAx>
        <c:axId val="12596307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3095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PC2.05_Ind01. Percentatge de propostes de modificació presentades a AQU que han obtingut l’avaluació favorable desglossades per curs acadèmic, per grau i màster.</a:t>
            </a:r>
            <a:endParaRPr lang="ca-ES" sz="1000">
              <a:effectLst/>
            </a:endParaRPr>
          </a:p>
        </c:rich>
      </c:tx>
      <c:layout>
        <c:manualLayout>
          <c:xMode val="edge"/>
          <c:yMode val="edge"/>
          <c:x val="0.10209711286089238"/>
          <c:y val="0"/>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5.3527474604882185E-2"/>
          <c:y val="0.11958143672388293"/>
          <c:w val="0.7948773412613519"/>
          <c:h val="0.80573995604205217"/>
        </c:manualLayout>
      </c:layout>
      <c:barChart>
        <c:barDir val="col"/>
        <c:grouping val="clustered"/>
        <c:varyColors val="0"/>
        <c:ser>
          <c:idx val="0"/>
          <c:order val="0"/>
          <c:tx>
            <c:strRef>
              <c:f>'PC2.05_Ind01'!$B$31</c:f>
              <c:strCache>
                <c:ptCount val="1"/>
                <c:pt idx="0">
                  <c:v>% Compliment</c:v>
                </c:pt>
              </c:strCache>
            </c:strRef>
          </c:tx>
          <c:spPr>
            <a:solidFill>
              <a:schemeClr val="accent1"/>
            </a:soli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1"/>
              </a:solidFill>
              <a:ln>
                <a:solidFill>
                  <a:schemeClr val="accent6">
                    <a:lumMod val="7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3A2F-4085-BA23-C38A338CAFBC}"/>
              </c:ext>
            </c:extLst>
          </c:dPt>
          <c:dPt>
            <c:idx val="1"/>
            <c:invertIfNegative val="0"/>
            <c:bubble3D val="0"/>
            <c:spPr>
              <a:solidFill>
                <a:schemeClr val="accent1"/>
              </a:solidFill>
              <a:ln>
                <a:solidFill>
                  <a:schemeClr val="accent6">
                    <a:lumMod val="7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3A2F-4085-BA23-C38A338CAFBC}"/>
              </c:ext>
            </c:extLst>
          </c:dPt>
          <c:dPt>
            <c:idx val="2"/>
            <c:invertIfNegative val="0"/>
            <c:bubble3D val="0"/>
            <c:spPr>
              <a:solidFill>
                <a:schemeClr val="accent1"/>
              </a:solidFill>
              <a:ln>
                <a:solidFill>
                  <a:schemeClr val="accent6">
                    <a:lumMod val="7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3A2F-4085-BA23-C38A338CAFBC}"/>
              </c:ext>
            </c:extLst>
          </c:dPt>
          <c:cat>
            <c:strRef>
              <c:extLst>
                <c:ext xmlns:c15="http://schemas.microsoft.com/office/drawing/2012/chart" uri="{02D57815-91ED-43cb-92C2-25804820EDAC}">
                  <c15:fullRef>
                    <c15:sqref>'PC2.05_Ind01'!$D$13:$I$13</c15:sqref>
                  </c15:fullRef>
                </c:ext>
              </c:extLst>
              <c:f>'PC2.05_Ind01'!$F$13:$I$13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'PC2.05_Ind01'!$D$31:$I$31</c15:sqref>
                  </c15:fullRef>
                </c:ext>
              </c:extLst>
              <c:f>'PC2.05_Ind01'!$F$31:$I$31</c:f>
              <c:numCache>
                <c:formatCode>0.00%</c:formatCode>
                <c:ptCount val="4"/>
                <c:pt idx="0">
                  <c:v>1</c:v>
                </c:pt>
                <c:pt idx="1">
                  <c:v>1</c:v>
                </c:pt>
                <c:pt idx="2">
                  <c:v>1</c:v>
                </c:pt>
                <c:pt idx="3">
                  <c:v>1</c:v>
                </c:pt>
              </c:numCache>
            </c:numRef>
          </c:val>
          <c:extLst>
            <c:ext xmlns:c15="http://schemas.microsoft.com/office/drawing/2012/chart" uri="{02D57815-91ED-43cb-92C2-25804820EDAC}">
              <c15:categoryFilterExceptions>
                <c15:categoryFilterException>
                  <c15:sqref>'PC2.05_Ind01'!$D$31</c15:sqref>
                  <c15:spPr xmlns:c15="http://schemas.microsoft.com/office/drawing/2012/chart">
                    <a:solidFill>
                      <a:schemeClr val="accent1"/>
                    </a:solidFill>
                    <a:ln>
                      <a:solidFill>
                        <a:schemeClr val="accent6">
                          <a:lumMod val="75000"/>
                        </a:schemeClr>
                      </a:solidFill>
                    </a:ln>
                    <a:effectLst>
                      <a:outerShdw blurRad="57150" dist="19050" dir="5400000" algn="ctr" rotWithShape="0">
                        <a:srgbClr val="000000">
                          <a:alpha val="63000"/>
                        </a:srgbClr>
                      </a:outerShdw>
                    </a:effectLst>
                  </c15:spPr>
                  <c15:invertIfNegative val="0"/>
                  <c15:bubble3D val="0"/>
                </c15:categoryFilterException>
                <c15:categoryFilterException>
                  <c15:sqref>'PC2.05_Ind01'!$E$31</c15:sqref>
                  <c15:spPr xmlns:c15="http://schemas.microsoft.com/office/drawing/2012/chart">
                    <a:solidFill>
                      <a:schemeClr val="accent1"/>
                    </a:solidFill>
                    <a:ln>
                      <a:solidFill>
                        <a:schemeClr val="accent6">
                          <a:lumMod val="75000"/>
                        </a:schemeClr>
                      </a:solidFill>
                    </a:ln>
                    <a:effectLst>
                      <a:outerShdw blurRad="57150" dist="19050" dir="5400000" algn="ctr" rotWithShape="0">
                        <a:srgbClr val="000000">
                          <a:alpha val="63000"/>
                        </a:srgbClr>
                      </a:outerShdw>
                    </a:effectLst>
                  </c15:spPr>
                  <c15:invertIfNegative val="0"/>
                  <c15:bubble3D val="0"/>
                </c15:categoryFilterException>
              </c15:categoryFilterExceptions>
            </c:ext>
            <c:ext xmlns:c16="http://schemas.microsoft.com/office/drawing/2014/chart" uri="{C3380CC4-5D6E-409C-BE32-E72D297353CC}">
              <c16:uniqueId val="{00000014-D72D-4CB7-9A62-745B0C172641}"/>
            </c:ext>
          </c:extLst>
        </c:ser>
        <c:dLbls>
          <c:showLegendKey val="0"/>
          <c:showVal val="0"/>
          <c:showCatName val="0"/>
          <c:showSerName val="0"/>
          <c:showPercent val="0"/>
          <c:showBubbleSize val="0"/>
        </c:dLbls>
        <c:gapWidth val="150"/>
        <c:axId val="1201452992"/>
        <c:axId val="1203431264"/>
      </c:barChart>
      <c:lineChart>
        <c:grouping val="standard"/>
        <c:varyColors val="0"/>
        <c:ser>
          <c:idx val="1"/>
          <c:order val="1"/>
          <c:tx>
            <c:strRef>
              <c:f>'PC2.05_Ind01'!$B$32</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chemeClr val="accent3"/>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'PC2.05_Ind01'!$D$13:$I$13</c15:sqref>
                  </c15:fullRef>
                </c:ext>
              </c:extLst>
              <c:f>'PC2.05_Ind01'!$F$13:$I$13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'PC2.05_Ind01'!$D$32:$I$32</c15:sqref>
                  </c15:fullRef>
                </c:ext>
              </c:extLst>
              <c:f>'PC2.05_Ind01'!$F$32:$I$32</c:f>
              <c:numCache>
                <c:formatCode>0.00%</c:formatCode>
                <c:ptCount val="4"/>
                <c:pt idx="0">
                  <c:v>1</c:v>
                </c:pt>
                <c:pt idx="1">
                  <c:v>1</c:v>
                </c:pt>
                <c:pt idx="2">
                  <c:v>1</c:v>
                </c:pt>
                <c:pt idx="3">
                  <c:v>1</c:v>
                </c:pt>
              </c:numCache>
            </c:numRef>
          </c:val>
          <c:smooth val="0"/>
          <c:extLst>
            <c:ext xmlns:c16="http://schemas.microsoft.com/office/drawing/2014/chart" uri="{C3380CC4-5D6E-409C-BE32-E72D297353CC}">
              <c16:uniqueId val="{00000015-D72D-4CB7-9A62-745B0C172641}"/>
            </c:ext>
          </c:extLst>
        </c:ser>
        <c:dLbls>
          <c:showLegendKey val="0"/>
          <c:showVal val="0"/>
          <c:showCatName val="0"/>
          <c:showSerName val="0"/>
          <c:showPercent val="0"/>
          <c:showBubbleSize val="0"/>
        </c:dLbls>
        <c:marker val="1"/>
        <c:smooth val="0"/>
        <c:axId val="1201452992"/>
        <c:axId val="1203431264"/>
      </c:lineChart>
      <c:catAx>
        <c:axId val="1201452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03431264"/>
        <c:crosses val="autoZero"/>
        <c:auto val="1"/>
        <c:lblAlgn val="ctr"/>
        <c:lblOffset val="100"/>
        <c:noMultiLvlLbl val="0"/>
      </c:catAx>
      <c:valAx>
        <c:axId val="1203431264"/>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014529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i="0" u="none" strike="noStrike" baseline="0">
                <a:effectLst/>
                <a:latin typeface="Calibri" panose="020F0502020204030204" pitchFamily="34" charset="0"/>
                <a:ea typeface="Calibri" panose="020F0502020204030204" pitchFamily="34" charset="0"/>
                <a:cs typeface="Calibri" panose="020F0502020204030204" pitchFamily="34" charset="0"/>
              </a:rPr>
              <a:t>PC3.01_Ind01 Ràtio de sol.licituds en 1a preferència per l'oferta</a:t>
            </a:r>
            <a:endParaRPr lang="ca-ES" sz="1400">
              <a:latin typeface="Calibri" panose="020F0502020204030204" pitchFamily="34" charset="0"/>
              <a:ea typeface="Calibri" panose="020F0502020204030204" pitchFamily="34" charset="0"/>
              <a:cs typeface="Calibri" panose="020F0502020204030204" pitchFamily="34" charset="0"/>
            </a:endParaRPr>
          </a:p>
        </c:rich>
      </c:tx>
      <c:layout>
        <c:manualLayout>
          <c:xMode val="edge"/>
          <c:yMode val="edge"/>
          <c:x val="0.1477466796532908"/>
          <c:y val="2.339181286549707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2.4230455612311918E-2"/>
          <c:y val="0.11342504914034791"/>
          <c:w val="0.9291847159331712"/>
          <c:h val="0.62379358429204068"/>
        </c:manualLayout>
      </c:layout>
      <c:barChart>
        <c:barDir val="col"/>
        <c:grouping val="clustered"/>
        <c:varyColors val="0"/>
        <c:ser>
          <c:idx val="0"/>
          <c:order val="0"/>
          <c:tx>
            <c:strRef>
              <c:f>'PC3.01_Ind01'!$B$15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'PC3.01_Ind01'!$C$15:$G$15</c15:sqref>
                  </c15:fullRef>
                </c:ext>
              </c:extLst>
              <c:f>'PC3.01_Ind01'!$D$15:$G$15</c:f>
              <c:numCache>
                <c:formatCode>0.00</c:formatCode>
                <c:ptCount val="4"/>
                <c:pt idx="0">
                  <c:v>0.9</c:v>
                </c:pt>
                <c:pt idx="1">
                  <c:v>0.8</c:v>
                </c:pt>
                <c:pt idx="2">
                  <c:v>0.5</c:v>
                </c:pt>
                <c:pt idx="3">
                  <c:v>0.9</c:v>
                </c:pt>
              </c:numCache>
            </c:numRef>
          </c:val>
          <c:extLst>
            <c:ext xmlns:c16="http://schemas.microsoft.com/office/drawing/2014/chart" uri="{C3380CC4-5D6E-409C-BE32-E72D297353CC}">
              <c16:uniqueId val="{00000000-59DE-4036-A6B9-D5F1826D1667}"/>
            </c:ext>
          </c:extLst>
        </c:ser>
        <c:ser>
          <c:idx val="1"/>
          <c:order val="1"/>
          <c:tx>
            <c:strRef>
              <c:f>'PC3.01_Ind01'!$B$16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'PC3.01_Ind01'!$C$16:$G$16</c15:sqref>
                  </c15:fullRef>
                </c:ext>
              </c:extLst>
              <c:f>'PC3.01_Ind01'!$D$16:$G$16</c:f>
              <c:numCache>
                <c:formatCode>0.00</c:formatCode>
                <c:ptCount val="4"/>
                <c:pt idx="0">
                  <c:v>1.2</c:v>
                </c:pt>
                <c:pt idx="1">
                  <c:v>0.8</c:v>
                </c:pt>
                <c:pt idx="2">
                  <c:v>1.3</c:v>
                </c:pt>
                <c:pt idx="3">
                  <c:v>0.9</c:v>
                </c:pt>
              </c:numCache>
            </c:numRef>
          </c:val>
          <c:extLst>
            <c:ext xmlns:c16="http://schemas.microsoft.com/office/drawing/2014/chart" uri="{C3380CC4-5D6E-409C-BE32-E72D297353CC}">
              <c16:uniqueId val="{00000001-59DE-4036-A6B9-D5F1826D1667}"/>
            </c:ext>
          </c:extLst>
        </c:ser>
        <c:ser>
          <c:idx val="2"/>
          <c:order val="2"/>
          <c:tx>
            <c:strRef>
              <c:f>'PC3.01_Ind01'!$B$17</c:f>
              <c:strCache>
                <c:ptCount val="1"/>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'PC3.01_Ind01'!$C$17:$G$17</c15:sqref>
                  </c15:fullRef>
                </c:ext>
              </c:extLst>
              <c:f>'PC3.01_Ind01'!$D$17:$G$17</c:f>
              <c:numCache>
                <c:formatCode>0.00</c:formatCode>
                <c:ptCount val="4"/>
                <c:pt idx="0">
                  <c:v>1.6</c:v>
                </c:pt>
                <c:pt idx="1">
                  <c:v>1.1000000000000001</c:v>
                </c:pt>
                <c:pt idx="2">
                  <c:v>1.1000000000000001</c:v>
                </c:pt>
                <c:pt idx="3">
                  <c:v>1.3</c:v>
                </c:pt>
              </c:numCache>
            </c:numRef>
          </c:val>
          <c:extLst>
            <c:ext xmlns:c16="http://schemas.microsoft.com/office/drawing/2014/chart" uri="{C3380CC4-5D6E-409C-BE32-E72D297353CC}">
              <c16:uniqueId val="{00000002-59DE-4036-A6B9-D5F1826D1667}"/>
            </c:ext>
          </c:extLst>
        </c:ser>
        <c:ser>
          <c:idx val="3"/>
          <c:order val="3"/>
          <c:tx>
            <c:strRef>
              <c:f>'PC3.01_Ind01'!$B$18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'PC3.01_Ind01'!$C$18:$G$18</c15:sqref>
                  </c15:fullRef>
                </c:ext>
              </c:extLst>
              <c:f>'PC3.01_Ind01'!$D$18:$G$18</c:f>
              <c:numCache>
                <c:formatCode>0.00</c:formatCode>
                <c:ptCount val="4"/>
                <c:pt idx="0">
                  <c:v>2.4</c:v>
                </c:pt>
                <c:pt idx="1">
                  <c:v>2.2000000000000002</c:v>
                </c:pt>
                <c:pt idx="2">
                  <c:v>2.2999999999999998</c:v>
                </c:pt>
                <c:pt idx="3">
                  <c:v>1.8</c:v>
                </c:pt>
              </c:numCache>
            </c:numRef>
          </c:val>
          <c:extLst>
            <c:ext xmlns:c16="http://schemas.microsoft.com/office/drawing/2014/chart" uri="{C3380CC4-5D6E-409C-BE32-E72D297353CC}">
              <c16:uniqueId val="{00000004-59DE-4036-A6B9-D5F1826D1667}"/>
            </c:ext>
          </c:extLst>
        </c:ser>
        <c:ser>
          <c:idx val="4"/>
          <c:order val="4"/>
          <c:tx>
            <c:strRef>
              <c:f>'PC3.01_Ind01'!$B$19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'PC3.01_Ind01'!$C$19:$G$19</c15:sqref>
                  </c15:fullRef>
                </c:ext>
              </c:extLst>
              <c:f>'PC3.01_Ind01'!$D$19:$G$19</c:f>
              <c:numCache>
                <c:formatCode>0.00</c:formatCode>
                <c:ptCount val="4"/>
                <c:pt idx="0">
                  <c:v>5</c:v>
                </c:pt>
                <c:pt idx="1">
                  <c:v>5.2</c:v>
                </c:pt>
                <c:pt idx="2">
                  <c:v>3.6</c:v>
                </c:pt>
                <c:pt idx="3">
                  <c:v>3.5</c:v>
                </c:pt>
              </c:numCache>
            </c:numRef>
          </c:val>
          <c:extLst>
            <c:ext xmlns:c16="http://schemas.microsoft.com/office/drawing/2014/chart" uri="{C3380CC4-5D6E-409C-BE32-E72D297353CC}">
              <c16:uniqueId val="{00000005-59DE-4036-A6B9-D5F1826D1667}"/>
            </c:ext>
          </c:extLst>
        </c:ser>
        <c:ser>
          <c:idx val="5"/>
          <c:order val="5"/>
          <c:tx>
            <c:strRef>
              <c:f>'PC3.01_Ind01'!$B$20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'PC3.01_Ind01'!$C$20:$G$20</c15:sqref>
                  </c15:fullRef>
                </c:ext>
              </c:extLst>
              <c:f>'PC3.01_Ind01'!$D$20:$G$20</c:f>
              <c:numCache>
                <c:formatCode>0.00</c:formatCode>
                <c:ptCount val="4"/>
                <c:pt idx="0">
                  <c:v>1.9</c:v>
                </c:pt>
                <c:pt idx="1">
                  <c:v>2</c:v>
                </c:pt>
                <c:pt idx="2">
                  <c:v>1.5</c:v>
                </c:pt>
                <c:pt idx="3">
                  <c:v>1.4</c:v>
                </c:pt>
              </c:numCache>
            </c:numRef>
          </c:val>
          <c:extLst>
            <c:ext xmlns:c16="http://schemas.microsoft.com/office/drawing/2014/chart" uri="{C3380CC4-5D6E-409C-BE32-E72D297353CC}">
              <c16:uniqueId val="{00000006-59DE-4036-A6B9-D5F1826D1667}"/>
            </c:ext>
          </c:extLst>
        </c:ser>
        <c:ser>
          <c:idx val="6"/>
          <c:order val="6"/>
          <c:tx>
            <c:strRef>
              <c:f>'PC3.01_Ind01'!$B$21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'PC3.01_Ind01'!$C$21:$G$21</c15:sqref>
                  </c15:fullRef>
                </c:ext>
              </c:extLst>
              <c:f>'PC3.01_Ind01'!$D$21:$G$21</c:f>
              <c:numCache>
                <c:formatCode>0.00</c:formatCode>
                <c:ptCount val="4"/>
                <c:pt idx="0">
                  <c:v>0.5</c:v>
                </c:pt>
                <c:pt idx="1">
                  <c:v>0.5</c:v>
                </c:pt>
                <c:pt idx="2">
                  <c:v>0.4</c:v>
                </c:pt>
                <c:pt idx="3">
                  <c:v>0.7</c:v>
                </c:pt>
              </c:numCache>
            </c:numRef>
          </c:val>
          <c:extLst>
            <c:ext xmlns:c16="http://schemas.microsoft.com/office/drawing/2014/chart" uri="{C3380CC4-5D6E-409C-BE32-E72D297353CC}">
              <c16:uniqueId val="{00000007-59DE-4036-A6B9-D5F1826D1667}"/>
            </c:ext>
          </c:extLst>
        </c:ser>
        <c:ser>
          <c:idx val="7"/>
          <c:order val="7"/>
          <c:tx>
            <c:strRef>
              <c:f>'PC3.01_Ind01'!$B$22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'PC3.01_Ind01'!$C$22:$G$22</c15:sqref>
                  </c15:fullRef>
                </c:ext>
              </c:extLst>
              <c:f>'PC3.01_Ind01'!$D$22:$G$22</c:f>
              <c:numCache>
                <c:formatCode>0.00</c:formatCode>
                <c:ptCount val="4"/>
                <c:pt idx="0">
                  <c:v>1.4</c:v>
                </c:pt>
                <c:pt idx="1">
                  <c:v>1.3</c:v>
                </c:pt>
                <c:pt idx="2">
                  <c:v>0.9</c:v>
                </c:pt>
                <c:pt idx="3">
                  <c:v>1</c:v>
                </c:pt>
              </c:numCache>
            </c:numRef>
          </c:val>
          <c:extLst>
            <c:ext xmlns:c16="http://schemas.microsoft.com/office/drawing/2014/chart" uri="{C3380CC4-5D6E-409C-BE32-E72D297353CC}">
              <c16:uniqueId val="{00000008-59DE-4036-A6B9-D5F1826D1667}"/>
            </c:ext>
          </c:extLst>
        </c:ser>
        <c:ser>
          <c:idx val="8"/>
          <c:order val="8"/>
          <c:tx>
            <c:strRef>
              <c:f>'PC3.01_Ind01'!$B$23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'PC3.01_Ind01'!$C$23:$G$23</c15:sqref>
                  </c15:fullRef>
                </c:ext>
              </c:extLst>
              <c:f>'PC3.01_Ind01'!$D$23:$G$23</c:f>
              <c:numCache>
                <c:formatCode>0.00</c:formatCode>
                <c:ptCount val="4"/>
                <c:pt idx="0">
                  <c:v>2</c:v>
                </c:pt>
                <c:pt idx="1">
                  <c:v>1.7</c:v>
                </c:pt>
                <c:pt idx="2">
                  <c:v>1.4</c:v>
                </c:pt>
                <c:pt idx="3">
                  <c:v>1.3</c:v>
                </c:pt>
              </c:numCache>
            </c:numRef>
          </c:val>
          <c:extLst>
            <c:ext xmlns:c16="http://schemas.microsoft.com/office/drawing/2014/chart" uri="{C3380CC4-5D6E-409C-BE32-E72D297353CC}">
              <c16:uniqueId val="{00000009-59DE-4036-A6B9-D5F1826D1667}"/>
            </c:ext>
          </c:extLst>
        </c:ser>
        <c:ser>
          <c:idx val="9"/>
          <c:order val="9"/>
          <c:tx>
            <c:strRef>
              <c:f>'PC3.01_Ind01'!$B$24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'PC3.01_Ind01'!$C$24:$G$24</c15:sqref>
                  </c15:fullRef>
                </c:ext>
              </c:extLst>
              <c:f>'PC3.01_Ind01'!$D$24:$G$24</c:f>
              <c:numCache>
                <c:formatCode>0.00</c:formatCode>
                <c:ptCount val="4"/>
                <c:pt idx="0">
                  <c:v>1.1000000000000001</c:v>
                </c:pt>
                <c:pt idx="1">
                  <c:v>1.2</c:v>
                </c:pt>
                <c:pt idx="2">
                  <c:v>1.2</c:v>
                </c:pt>
                <c:pt idx="3">
                  <c:v>1</c:v>
                </c:pt>
              </c:numCache>
            </c:numRef>
          </c:val>
          <c:extLst>
            <c:ext xmlns:c16="http://schemas.microsoft.com/office/drawing/2014/chart" uri="{C3380CC4-5D6E-409C-BE32-E72D297353CC}">
              <c16:uniqueId val="{0000000A-59DE-4036-A6B9-D5F1826D1667}"/>
            </c:ext>
          </c:extLst>
        </c:ser>
        <c:ser>
          <c:idx val="10"/>
          <c:order val="10"/>
          <c:tx>
            <c:strRef>
              <c:f>'PC3.01_Ind01'!$B$25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'PC3.01_Ind01'!$C$25:$G$25</c15:sqref>
                  </c15:fullRef>
                </c:ext>
              </c:extLst>
              <c:f>'PC3.01_Ind01'!$D$25:$G$25</c:f>
              <c:numCache>
                <c:formatCode>0.00</c:formatCode>
                <c:ptCount val="4"/>
                <c:pt idx="0">
                  <c:v>0.9</c:v>
                </c:pt>
                <c:pt idx="1">
                  <c:v>1.1000000000000001</c:v>
                </c:pt>
                <c:pt idx="2">
                  <c:v>1</c:v>
                </c:pt>
                <c:pt idx="3">
                  <c:v>0.9</c:v>
                </c:pt>
              </c:numCache>
            </c:numRef>
          </c:val>
          <c:extLst>
            <c:ext xmlns:c16="http://schemas.microsoft.com/office/drawing/2014/chart" uri="{C3380CC4-5D6E-409C-BE32-E72D297353CC}">
              <c16:uniqueId val="{0000000B-59DE-4036-A6B9-D5F1826D1667}"/>
            </c:ext>
          </c:extLst>
        </c:ser>
        <c:dLbls>
          <c:showLegendKey val="0"/>
          <c:showVal val="0"/>
          <c:showCatName val="0"/>
          <c:showSerName val="0"/>
          <c:showPercent val="0"/>
          <c:showBubbleSize val="0"/>
        </c:dLbls>
        <c:gapWidth val="100"/>
        <c:overlap val="-24"/>
        <c:axId val="1667821664"/>
        <c:axId val="1199846336"/>
        <c:extLst/>
      </c:barChart>
      <c:lineChart>
        <c:grouping val="standard"/>
        <c:varyColors val="0"/>
        <c:ser>
          <c:idx val="11"/>
          <c:order val="11"/>
          <c:tx>
            <c:strRef>
              <c:f>'PC3.01_Ind01'!$B$26</c:f>
              <c:strCache>
                <c:ptCount val="1"/>
                <c:pt idx="0">
                  <c:v>Valor objectiu</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chemeClr val="accent3"/>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'PC3.01_Ind01'!$C$26:$G$26</c15:sqref>
                  </c15:fullRef>
                </c:ext>
              </c:extLst>
              <c:f>'PC3.01_Ind01'!$D$26:$G$26</c:f>
              <c:numCache>
                <c:formatCode>0.00</c:formatCode>
                <c:ptCount val="4"/>
                <c:pt idx="0">
                  <c:v>0.8</c:v>
                </c:pt>
                <c:pt idx="1">
                  <c:v>0.8</c:v>
                </c:pt>
                <c:pt idx="2">
                  <c:v>0.8</c:v>
                </c:pt>
                <c:pt idx="3">
                  <c:v>0.8</c:v>
                </c:pt>
              </c:numCache>
            </c:numRef>
          </c:val>
          <c:smooth val="0"/>
          <c:extLst>
            <c:ext xmlns:c16="http://schemas.microsoft.com/office/drawing/2014/chart" uri="{C3380CC4-5D6E-409C-BE32-E72D297353CC}">
              <c16:uniqueId val="{0000000C-59DE-4036-A6B9-D5F1826D1667}"/>
            </c:ext>
          </c:extLst>
        </c:ser>
        <c:dLbls>
          <c:showLegendKey val="0"/>
          <c:showVal val="0"/>
          <c:showCatName val="0"/>
          <c:showSerName val="0"/>
          <c:showPercent val="0"/>
          <c:showBubbleSize val="0"/>
        </c:dLbls>
        <c:marker val="1"/>
        <c:smooth val="0"/>
        <c:axId val="1667821664"/>
        <c:axId val="1199846336"/>
      </c:lineChart>
      <c:catAx>
        <c:axId val="1667821664"/>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99846336"/>
        <c:crosses val="autoZero"/>
        <c:auto val="1"/>
        <c:lblAlgn val="ctr"/>
        <c:lblOffset val="100"/>
        <c:noMultiLvlLbl val="0"/>
      </c:catAx>
      <c:valAx>
        <c:axId val="1199846336"/>
        <c:scaling>
          <c:orientation val="minMax"/>
          <c:max val="6"/>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67821664"/>
        <c:crosses val="autoZero"/>
        <c:crossBetween val="between"/>
      </c:valAx>
      <c:spPr>
        <a:noFill/>
        <a:ln>
          <a:noFill/>
        </a:ln>
        <a:effectLst/>
      </c:spPr>
    </c:plotArea>
    <c:legend>
      <c:legendPos val="b"/>
      <c:layout>
        <c:manualLayout>
          <c:xMode val="edge"/>
          <c:yMode val="edge"/>
          <c:x val="4.3843428662326309E-2"/>
          <c:y val="0.83482257112804881"/>
          <c:w val="0.88479694583631596"/>
          <c:h val="0.114353336523597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PC3.01_Ind02. Percentatge d’homes i dones matriculats per curs acadèmic i titulació (dones)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6.0416885389326332E-2"/>
          <c:y val="0.29189596092155146"/>
          <c:w val="0.86018895352894176"/>
          <c:h val="0.62949292796733747"/>
        </c:manualLayout>
      </c:layout>
      <c:barChart>
        <c:barDir val="col"/>
        <c:grouping val="clustered"/>
        <c:varyColors val="0"/>
        <c:ser>
          <c:idx val="0"/>
          <c:order val="0"/>
          <c:tx>
            <c:strRef>
              <c:f>'PC3.01_Ind02.'!$B$13</c:f>
              <c:strCache>
                <c:ptCount val="1"/>
                <c:pt idx="0">
                  <c:v>Percentatge d'homes i dones matriculats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'PC3.01_Ind02.'!$C$13:$G$13</c:f>
              <c:numCache>
                <c:formatCode>General</c:formatCode>
                <c:ptCount val="5"/>
                <c:pt idx="0">
                  <c:v>0</c:v>
                </c:pt>
                <c:pt idx="2">
                  <c:v>0</c:v>
                </c:pt>
                <c:pt idx="4">
                  <c:v>0</c:v>
                </c:pt>
              </c:numCache>
            </c:numRef>
          </c:val>
          <c:extLst>
            <c:ext xmlns:c16="http://schemas.microsoft.com/office/drawing/2014/chart" uri="{C3380CC4-5D6E-409C-BE32-E72D297353CC}">
              <c16:uniqueId val="{00000002-DE30-4E6A-9137-9FF7E25CF89A}"/>
            </c:ext>
          </c:extLst>
        </c:ser>
        <c:ser>
          <c:idx val="1"/>
          <c:order val="1"/>
          <c:tx>
            <c:strRef>
              <c:f>'PC3.01_Ind02.'!$B$15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'PC3.01_Ind02.'!$C$15:$G$15</c:f>
              <c:numCache>
                <c:formatCode>0.00%</c:formatCode>
                <c:ptCount val="5"/>
                <c:pt idx="0">
                  <c:v>0.52</c:v>
                </c:pt>
                <c:pt idx="1">
                  <c:v>0.5</c:v>
                </c:pt>
                <c:pt idx="2">
                  <c:v>0.52</c:v>
                </c:pt>
                <c:pt idx="3">
                  <c:v>0.48</c:v>
                </c:pt>
                <c:pt idx="4">
                  <c:v>0.6</c:v>
                </c:pt>
              </c:numCache>
            </c:numRef>
          </c:val>
          <c:extLst>
            <c:ext xmlns:c16="http://schemas.microsoft.com/office/drawing/2014/chart" uri="{C3380CC4-5D6E-409C-BE32-E72D297353CC}">
              <c16:uniqueId val="{00000003-DE30-4E6A-9137-9FF7E25CF89A}"/>
            </c:ext>
          </c:extLst>
        </c:ser>
        <c:ser>
          <c:idx val="2"/>
          <c:order val="2"/>
          <c:tx>
            <c:strRef>
              <c:f>'PC3.01_Ind02.'!$B$16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'PC3.01_Ind02.'!$C$16:$G$16</c:f>
              <c:numCache>
                <c:formatCode>0.00%</c:formatCode>
                <c:ptCount val="5"/>
                <c:pt idx="0">
                  <c:v>0.45</c:v>
                </c:pt>
                <c:pt idx="1">
                  <c:v>0.55000000000000004</c:v>
                </c:pt>
                <c:pt idx="2">
                  <c:v>0.42</c:v>
                </c:pt>
                <c:pt idx="3">
                  <c:v>0.57999999999999996</c:v>
                </c:pt>
                <c:pt idx="4">
                  <c:v>0.71</c:v>
                </c:pt>
              </c:numCache>
            </c:numRef>
          </c:val>
          <c:extLst>
            <c:ext xmlns:c16="http://schemas.microsoft.com/office/drawing/2014/chart" uri="{C3380CC4-5D6E-409C-BE32-E72D297353CC}">
              <c16:uniqueId val="{00000004-DE30-4E6A-9137-9FF7E25CF89A}"/>
            </c:ext>
          </c:extLst>
        </c:ser>
        <c:ser>
          <c:idx val="3"/>
          <c:order val="3"/>
          <c:tx>
            <c:strRef>
              <c:f>'PC3.01_Ind02.'!$B$17</c:f>
              <c:strCache>
                <c:ptCount val="1"/>
                <c:pt idx="0">
                  <c:v>Estadística Aplicada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'PC3.01_Ind02.'!$C$17:$G$17</c:f>
              <c:numCache>
                <c:formatCode>0.00%</c:formatCode>
                <c:ptCount val="5"/>
                <c:pt idx="0">
                  <c:v>0.51</c:v>
                </c:pt>
                <c:pt idx="1">
                  <c:v>0.49</c:v>
                </c:pt>
                <c:pt idx="2">
                  <c:v>0.51</c:v>
                </c:pt>
                <c:pt idx="3">
                  <c:v>0.49</c:v>
                </c:pt>
                <c:pt idx="4">
                  <c:v>0.32</c:v>
                </c:pt>
              </c:numCache>
            </c:numRef>
          </c:val>
          <c:extLst>
            <c:ext xmlns:c16="http://schemas.microsoft.com/office/drawing/2014/chart" uri="{C3380CC4-5D6E-409C-BE32-E72D297353CC}">
              <c16:uniqueId val="{00000005-DE30-4E6A-9137-9FF7E25CF89A}"/>
            </c:ext>
          </c:extLst>
        </c:ser>
        <c:ser>
          <c:idx val="4"/>
          <c:order val="4"/>
          <c:tx>
            <c:strRef>
              <c:f>'PC3.01_Ind02.'!$B$18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'PC3.01_Ind02.'!$C$18:$G$18</c:f>
              <c:numCache>
                <c:formatCode>0.00%</c:formatCode>
                <c:ptCount val="5"/>
                <c:pt idx="0">
                  <c:v>0.17</c:v>
                </c:pt>
                <c:pt idx="1">
                  <c:v>0.83</c:v>
                </c:pt>
                <c:pt idx="2">
                  <c:v>0.17</c:v>
                </c:pt>
                <c:pt idx="3">
                  <c:v>0.83</c:v>
                </c:pt>
                <c:pt idx="4">
                  <c:v>0.26</c:v>
                </c:pt>
              </c:numCache>
            </c:numRef>
          </c:val>
          <c:extLst>
            <c:ext xmlns:c16="http://schemas.microsoft.com/office/drawing/2014/chart" uri="{C3380CC4-5D6E-409C-BE32-E72D297353CC}">
              <c16:uniqueId val="{00000006-DE30-4E6A-9137-9FF7E25CF89A}"/>
            </c:ext>
          </c:extLst>
        </c:ser>
        <c:ser>
          <c:idx val="5"/>
          <c:order val="5"/>
          <c:tx>
            <c:strRef>
              <c:f>'PC3.01_Ind02.'!$B$19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'PC3.01_Ind02.'!$C$19:$G$19</c:f>
              <c:numCache>
                <c:formatCode>0.00%</c:formatCode>
                <c:ptCount val="5"/>
                <c:pt idx="0">
                  <c:v>0.27</c:v>
                </c:pt>
                <c:pt idx="1">
                  <c:v>0.73</c:v>
                </c:pt>
                <c:pt idx="2">
                  <c:v>0.27</c:v>
                </c:pt>
                <c:pt idx="3">
                  <c:v>0.73</c:v>
                </c:pt>
                <c:pt idx="4">
                  <c:v>0.35</c:v>
                </c:pt>
              </c:numCache>
            </c:numRef>
          </c:val>
          <c:extLst>
            <c:ext xmlns:c16="http://schemas.microsoft.com/office/drawing/2014/chart" uri="{C3380CC4-5D6E-409C-BE32-E72D297353CC}">
              <c16:uniqueId val="{00000007-DE30-4E6A-9137-9FF7E25CF89A}"/>
            </c:ext>
          </c:extLst>
        </c:ser>
        <c:ser>
          <c:idx val="6"/>
          <c:order val="6"/>
          <c:tx>
            <c:strRef>
              <c:f>'PC3.01_Ind02.'!$B$20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'PC3.01_Ind02.'!$C$20:$G$20</c:f>
              <c:numCache>
                <c:formatCode>0.00%</c:formatCode>
                <c:ptCount val="5"/>
                <c:pt idx="0">
                  <c:v>0.27</c:v>
                </c:pt>
                <c:pt idx="1">
                  <c:v>0.73</c:v>
                </c:pt>
                <c:pt idx="2">
                  <c:v>0.27</c:v>
                </c:pt>
                <c:pt idx="3">
                  <c:v>0.73</c:v>
                </c:pt>
                <c:pt idx="4">
                  <c:v>0.28999999999999998</c:v>
                </c:pt>
              </c:numCache>
            </c:numRef>
          </c:val>
          <c:extLst>
            <c:ext xmlns:c16="http://schemas.microsoft.com/office/drawing/2014/chart" uri="{C3380CC4-5D6E-409C-BE32-E72D297353CC}">
              <c16:uniqueId val="{00000008-DE30-4E6A-9137-9FF7E25CF89A}"/>
            </c:ext>
          </c:extLst>
        </c:ser>
        <c:ser>
          <c:idx val="7"/>
          <c:order val="7"/>
          <c:tx>
            <c:strRef>
              <c:f>'PC3.01_Ind02.'!$B$21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'PC3.01_Ind02.'!$C$21:$G$21</c:f>
              <c:numCache>
                <c:formatCode>0.00%</c:formatCode>
                <c:ptCount val="5"/>
                <c:pt idx="0">
                  <c:v>0.46</c:v>
                </c:pt>
                <c:pt idx="1">
                  <c:v>0.54</c:v>
                </c:pt>
                <c:pt idx="2">
                  <c:v>0.46</c:v>
                </c:pt>
                <c:pt idx="3">
                  <c:v>0.54</c:v>
                </c:pt>
                <c:pt idx="4">
                  <c:v>0.48</c:v>
                </c:pt>
              </c:numCache>
            </c:numRef>
          </c:val>
          <c:extLst>
            <c:ext xmlns:c16="http://schemas.microsoft.com/office/drawing/2014/chart" uri="{C3380CC4-5D6E-409C-BE32-E72D297353CC}">
              <c16:uniqueId val="{00000009-DE30-4E6A-9137-9FF7E25CF89A}"/>
            </c:ext>
          </c:extLst>
        </c:ser>
        <c:ser>
          <c:idx val="8"/>
          <c:order val="8"/>
          <c:tx>
            <c:strRef>
              <c:f>'PC3.01_Ind02.'!$B$22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'PC3.01_Ind02.'!$C$22:$G$22</c:f>
              <c:numCache>
                <c:formatCode>0.00%</c:formatCode>
                <c:ptCount val="5"/>
                <c:pt idx="0">
                  <c:v>0.36</c:v>
                </c:pt>
                <c:pt idx="1">
                  <c:v>0.64</c:v>
                </c:pt>
                <c:pt idx="2">
                  <c:v>0.36</c:v>
                </c:pt>
                <c:pt idx="3">
                  <c:v>0.64</c:v>
                </c:pt>
                <c:pt idx="4">
                  <c:v>0.47</c:v>
                </c:pt>
              </c:numCache>
            </c:numRef>
          </c:val>
          <c:extLst>
            <c:ext xmlns:c16="http://schemas.microsoft.com/office/drawing/2014/chart" uri="{C3380CC4-5D6E-409C-BE32-E72D297353CC}">
              <c16:uniqueId val="{0000000A-DE30-4E6A-9137-9FF7E25CF89A}"/>
            </c:ext>
          </c:extLst>
        </c:ser>
        <c:ser>
          <c:idx val="9"/>
          <c:order val="9"/>
          <c:tx>
            <c:strRef>
              <c:f>'PC3.01_Ind02.'!$B$23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'PC3.01_Ind02.'!$C$23:$G$23</c:f>
              <c:numCache>
                <c:formatCode>0.00%</c:formatCode>
                <c:ptCount val="5"/>
                <c:pt idx="0">
                  <c:v>0.42</c:v>
                </c:pt>
                <c:pt idx="1">
                  <c:v>0.57999999999999996</c:v>
                </c:pt>
                <c:pt idx="2">
                  <c:v>0.42</c:v>
                </c:pt>
                <c:pt idx="3">
                  <c:v>0.57999999999999996</c:v>
                </c:pt>
                <c:pt idx="4">
                  <c:v>0.33</c:v>
                </c:pt>
              </c:numCache>
            </c:numRef>
          </c:val>
          <c:extLst>
            <c:ext xmlns:c16="http://schemas.microsoft.com/office/drawing/2014/chart" uri="{C3380CC4-5D6E-409C-BE32-E72D297353CC}">
              <c16:uniqueId val="{0000000C-DE30-4E6A-9137-9FF7E25CF89A}"/>
            </c:ext>
          </c:extLst>
        </c:ser>
        <c:ser>
          <c:idx val="10"/>
          <c:order val="10"/>
          <c:tx>
            <c:strRef>
              <c:f>'PC3.01_Ind02.'!$B$24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'PC3.01_Ind02.'!$C$24:$G$24</c:f>
              <c:numCache>
                <c:formatCode>0.00%</c:formatCode>
                <c:ptCount val="5"/>
                <c:pt idx="0">
                  <c:v>0.38</c:v>
                </c:pt>
                <c:pt idx="1">
                  <c:v>0.62</c:v>
                </c:pt>
                <c:pt idx="2">
                  <c:v>0.38</c:v>
                </c:pt>
                <c:pt idx="3">
                  <c:v>0.62</c:v>
                </c:pt>
                <c:pt idx="4">
                  <c:v>0.41</c:v>
                </c:pt>
              </c:numCache>
            </c:numRef>
          </c:val>
          <c:extLst>
            <c:ext xmlns:c16="http://schemas.microsoft.com/office/drawing/2014/chart" uri="{C3380CC4-5D6E-409C-BE32-E72D297353CC}">
              <c16:uniqueId val="{0000000D-DE30-4E6A-9137-9FF7E25CF89A}"/>
            </c:ext>
          </c:extLst>
        </c:ser>
        <c:ser>
          <c:idx val="11"/>
          <c:order val="11"/>
          <c:tx>
            <c:strRef>
              <c:f>'PC3.01_Ind02.'!$B$25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'PC3.01_Ind02.'!$C$25:$G$25</c:f>
              <c:numCache>
                <c:formatCode>0.00%</c:formatCode>
                <c:ptCount val="5"/>
                <c:pt idx="0">
                  <c:v>0.49</c:v>
                </c:pt>
                <c:pt idx="1">
                  <c:v>0.51</c:v>
                </c:pt>
                <c:pt idx="2">
                  <c:v>0.49</c:v>
                </c:pt>
                <c:pt idx="3">
                  <c:v>0.51</c:v>
                </c:pt>
                <c:pt idx="4">
                  <c:v>0.33</c:v>
                </c:pt>
              </c:numCache>
            </c:numRef>
          </c:val>
          <c:extLst>
            <c:ext xmlns:c16="http://schemas.microsoft.com/office/drawing/2014/chart" uri="{C3380CC4-5D6E-409C-BE32-E72D297353CC}">
              <c16:uniqueId val="{0000000E-DE30-4E6A-9137-9FF7E25CF89A}"/>
            </c:ext>
          </c:extLst>
        </c:ser>
        <c:dLbls>
          <c:showLegendKey val="0"/>
          <c:showVal val="0"/>
          <c:showCatName val="0"/>
          <c:showSerName val="0"/>
          <c:showPercent val="0"/>
          <c:showBubbleSize val="0"/>
        </c:dLbls>
        <c:gapWidth val="219"/>
        <c:axId val="866149728"/>
        <c:axId val="1265518800"/>
      </c:barChart>
      <c:lineChart>
        <c:grouping val="standard"/>
        <c:varyColors val="0"/>
        <c:ser>
          <c:idx val="12"/>
          <c:order val="12"/>
          <c:tx>
            <c:strRef>
              <c:f>'PC3.01_Ind02.'!$B$28</c:f>
              <c:strCache>
                <c:ptCount val="1"/>
                <c:pt idx="0">
                  <c:v>Total titulacions 40-60%</c:v>
                </c:pt>
              </c:strCache>
            </c:strRef>
          </c:tx>
          <c:spPr>
            <a:ln w="34925" cap="rnd">
              <a:solidFill>
                <a:schemeClr val="accent1">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9525">
                <a:solidFill>
                  <a:schemeClr val="accent1">
                    <a:lumMod val="80000"/>
                    <a:lumOff val="20000"/>
                  </a:schemeClr>
                </a:solidFill>
                <a:round/>
              </a:ln>
              <a:effectLst>
                <a:outerShdw blurRad="57150" dist="19050" dir="5400000" algn="ctr" rotWithShape="0">
                  <a:srgbClr val="000000">
                    <a:alpha val="63000"/>
                  </a:srgbClr>
                </a:outerShdw>
              </a:effectLst>
            </c:spPr>
          </c:marker>
          <c:cat>
            <c:strRef>
              <c:f>'PC3.01_Ind02.'!$C$13:$G$13</c:f>
              <c:strCache>
                <c:ptCount val="5"/>
                <c:pt idx="0">
                  <c:v>2018/2019</c:v>
                </c:pt>
                <c:pt idx="2">
                  <c:v>2019/2020</c:v>
                </c:pt>
                <c:pt idx="4">
                  <c:v>2020/2021</c:v>
                </c:pt>
              </c:strCache>
            </c:strRef>
          </c:cat>
          <c:val>
            <c:numRef>
              <c:f>'PC3.01_Ind02.'!$C$28:$G$28</c:f>
              <c:numCache>
                <c:formatCode>0</c:formatCode>
                <c:ptCount val="5"/>
                <c:pt idx="0">
                  <c:v>6</c:v>
                </c:pt>
                <c:pt idx="1">
                  <c:v>6</c:v>
                </c:pt>
                <c:pt idx="2">
                  <c:v>6</c:v>
                </c:pt>
                <c:pt idx="3">
                  <c:v>6</c:v>
                </c:pt>
                <c:pt idx="4">
                  <c:v>4</c:v>
                </c:pt>
              </c:numCache>
            </c:numRef>
          </c:val>
          <c:smooth val="0"/>
          <c:extLst>
            <c:ext xmlns:c16="http://schemas.microsoft.com/office/drawing/2014/chart" uri="{C3380CC4-5D6E-409C-BE32-E72D297353CC}">
              <c16:uniqueId val="{0000000F-DE30-4E6A-9137-9FF7E25CF89A}"/>
            </c:ext>
          </c:extLst>
        </c:ser>
        <c:dLbls>
          <c:showLegendKey val="0"/>
          <c:showVal val="0"/>
          <c:showCatName val="0"/>
          <c:showSerName val="0"/>
          <c:showPercent val="0"/>
          <c:showBubbleSize val="0"/>
        </c:dLbls>
        <c:marker val="1"/>
        <c:smooth val="0"/>
        <c:axId val="866149728"/>
        <c:axId val="1265518800"/>
      </c:lineChart>
      <c:catAx>
        <c:axId val="8661497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65518800"/>
        <c:crosses val="autoZero"/>
        <c:auto val="1"/>
        <c:lblAlgn val="ctr"/>
        <c:lblOffset val="100"/>
        <c:noMultiLvlLbl val="0"/>
      </c:catAx>
      <c:valAx>
        <c:axId val="126551880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66149728"/>
        <c:crosses val="autoZero"/>
        <c:crossBetween val="between"/>
      </c:valAx>
      <c:spPr>
        <a:noFill/>
        <a:ln>
          <a:noFill/>
        </a:ln>
        <a:effectLst/>
      </c:spPr>
    </c:plotArea>
    <c:legend>
      <c:legendPos val="b"/>
      <c:layout>
        <c:manualLayout>
          <c:xMode val="edge"/>
          <c:yMode val="edge"/>
          <c:x val="0.1139483479319279"/>
          <c:y val="0.15834615149850451"/>
          <c:w val="0.79023464817781763"/>
          <c:h val="0.463287877658825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138127734033243E-2"/>
          <c:y val="0.15277777777777779"/>
          <c:w val="0.89197298337707787"/>
          <c:h val="0.54194444444444445"/>
        </c:manualLayout>
      </c:layout>
      <c:barChart>
        <c:barDir val="col"/>
        <c:grouping val="clustered"/>
        <c:varyColors val="0"/>
        <c:ser>
          <c:idx val="0"/>
          <c:order val="0"/>
          <c:tx>
            <c:strRef>
              <c:f>'PC3.01_Ind03'!$B$28</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'PC3.01_Ind03'!$C$28:$E$28</c15:sqref>
                  </c15:fullRef>
                </c:ext>
              </c:extLst>
              <c:f>'PC3.01_Ind03'!$C$28:$E$28</c:f>
              <c:numCache>
                <c:formatCode>General</c:formatCode>
                <c:ptCount val="3"/>
              </c:numCache>
            </c:numRef>
          </c:val>
          <c:extLst>
            <c:ext xmlns:c16="http://schemas.microsoft.com/office/drawing/2014/chart" uri="{C3380CC4-5D6E-409C-BE32-E72D297353CC}">
              <c16:uniqueId val="{00000000-312C-4187-B741-41A311C33EC8}"/>
            </c:ext>
          </c:extLst>
        </c:ser>
        <c:ser>
          <c:idx val="1"/>
          <c:order val="1"/>
          <c:tx>
            <c:strRef>
              <c:f>'PC3.01_Ind03'!$B$14</c:f>
              <c:strCache>
                <c:ptCount val="1"/>
                <c:pt idx="0">
                  <c:v>Màsters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'PC3.01_Ind03'!$C$14:$G$14</c15:sqref>
                  </c15:fullRef>
                </c:ext>
              </c:extLst>
              <c:f>'PC3.01_Ind03'!$C$14:$F$14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312C-4187-B741-41A311C33EC8}"/>
            </c:ext>
          </c:extLst>
        </c:ser>
        <c:ser>
          <c:idx val="2"/>
          <c:order val="2"/>
          <c:tx>
            <c:strRef>
              <c:f>'PC3.01_Ind03'!$B$15</c:f>
              <c:strCache>
                <c:ptCount val="1"/>
                <c:pt idx="0">
                  <c:v>Estudis Interdisciplinaris en Sostenibilitat Ambiental, Econòmica i Social</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'PC3.01_Ind03'!$E$14:$H$14</c15:sqref>
                  </c15:fullRef>
                </c:ext>
              </c:extLst>
              <c:f>'PC3.01_Ind03'!$E$14:$H$14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312C-4187-B741-41A311C33EC8}"/>
            </c:ext>
          </c:extLst>
        </c:ser>
        <c:ser>
          <c:idx val="3"/>
          <c:order val="3"/>
          <c:tx>
            <c:strRef>
              <c:f>'PC3.01_Ind03'!$B$16</c:f>
              <c:strCache>
                <c:ptCount val="1"/>
                <c:pt idx="0">
                  <c:v>Física d’Altes Energies, Astrofísica i Cosmologia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'PC3.01_Ind03'!$E$16:$H$16</c15:sqref>
                  </c15:fullRef>
                </c:ext>
              </c:extLst>
              <c:f>'PC3.01_Ind03'!$E$16:$H$16</c:f>
              <c:numCache>
                <c:formatCode>0.00%</c:formatCode>
                <c:ptCount val="4"/>
                <c:pt idx="0">
                  <c:v>0.125</c:v>
                </c:pt>
                <c:pt idx="1">
                  <c:v>0.19</c:v>
                </c:pt>
                <c:pt idx="2">
                  <c:v>0.1153</c:v>
                </c:pt>
                <c:pt idx="3">
                  <c:v>0.15</c:v>
                </c:pt>
              </c:numCache>
            </c:numRef>
          </c:val>
          <c:extLst>
            <c:ext xmlns:c16="http://schemas.microsoft.com/office/drawing/2014/chart" uri="{C3380CC4-5D6E-409C-BE32-E72D297353CC}">
              <c16:uniqueId val="{00000003-312C-4187-B741-41A311C33EC8}"/>
            </c:ext>
          </c:extLst>
        </c:ser>
        <c:ser>
          <c:idx val="4"/>
          <c:order val="4"/>
          <c:tx>
            <c:strRef>
              <c:f>'PC3.01_Ind03'!$B$17</c:f>
              <c:strCache>
                <c:ptCount val="1"/>
                <c:pt idx="0">
                  <c:v>Història de la Ciència: Ciència, Història i Societat</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'PC3.01_Ind03'!$E$17:$H$17</c15:sqref>
                  </c15:fullRef>
                </c:ext>
              </c:extLst>
              <c:f>'PC3.01_Ind03'!$E$17:$H$17</c:f>
              <c:numCache>
                <c:formatCode>0.00%</c:formatCode>
                <c:ptCount val="4"/>
                <c:pt idx="0">
                  <c:v>0</c:v>
                </c:pt>
                <c:pt idx="1">
                  <c:v>0.14000000000000001</c:v>
                </c:pt>
                <c:pt idx="2">
                  <c:v>0.22220000000000001</c:v>
                </c:pt>
                <c:pt idx="3">
                  <c:v>0.2</c:v>
                </c:pt>
              </c:numCache>
            </c:numRef>
          </c:val>
          <c:extLst>
            <c:ext xmlns:c16="http://schemas.microsoft.com/office/drawing/2014/chart" uri="{C3380CC4-5D6E-409C-BE32-E72D297353CC}">
              <c16:uniqueId val="{00000004-312C-4187-B741-41A311C33EC8}"/>
            </c:ext>
          </c:extLst>
        </c:ser>
        <c:ser>
          <c:idx val="5"/>
          <c:order val="5"/>
          <c:tx>
            <c:strRef>
              <c:f>'PC3.01_Ind03'!$B$18</c:f>
              <c:strCache>
                <c:ptCount val="1"/>
                <c:pt idx="0">
                  <c:v>Modelització per a la Ciència i l’Enginyeria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'PC3.01_Ind03'!$E$18:$H$18</c15:sqref>
                  </c15:fullRef>
                </c:ext>
              </c:extLst>
              <c:f>'PC3.01_Ind03'!$E$18:$H$18</c:f>
              <c:numCache>
                <c:formatCode>0.00%</c:formatCode>
                <c:ptCount val="4"/>
                <c:pt idx="0">
                  <c:v>0.16700000000000001</c:v>
                </c:pt>
                <c:pt idx="1">
                  <c:v>0.14000000000000001</c:v>
                </c:pt>
                <c:pt idx="2">
                  <c:v>0.14280000000000001</c:v>
                </c:pt>
                <c:pt idx="3">
                  <c:v>0.20449999999999999</c:v>
                </c:pt>
              </c:numCache>
            </c:numRef>
          </c:val>
          <c:extLst>
            <c:ext xmlns:c16="http://schemas.microsoft.com/office/drawing/2014/chart" uri="{C3380CC4-5D6E-409C-BE32-E72D297353CC}">
              <c16:uniqueId val="{00000005-312C-4187-B741-41A311C33EC8}"/>
            </c:ext>
          </c:extLst>
        </c:ser>
        <c:ser>
          <c:idx val="6"/>
          <c:order val="6"/>
          <c:tx>
            <c:strRef>
              <c:f>'PC3.01_Ind03'!$B$20</c:f>
              <c:strCache>
                <c:ptCount val="1"/>
                <c:pt idx="0">
                  <c:v>Paleobiologia i Registre Fòssil</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'PC3.01_Ind03'!$E$19:$H$19</c15:sqref>
                  </c15:fullRef>
                </c:ext>
              </c:extLst>
              <c:f>'PC3.01_Ind03'!$E$19:$H$19</c:f>
              <c:numCache>
                <c:formatCode>0.00%</c:formatCode>
                <c:ptCount val="4"/>
                <c:pt idx="0">
                  <c:v>0.14299999999999999</c:v>
                </c:pt>
                <c:pt idx="1">
                  <c:v>0.15</c:v>
                </c:pt>
                <c:pt idx="2">
                  <c:v>8.3299999999999999E-2</c:v>
                </c:pt>
                <c:pt idx="3">
                  <c:v>0.22220000000000001</c:v>
                </c:pt>
              </c:numCache>
            </c:numRef>
          </c:val>
          <c:extLst>
            <c:ext xmlns:c16="http://schemas.microsoft.com/office/drawing/2014/chart" uri="{C3380CC4-5D6E-409C-BE32-E72D297353CC}">
              <c16:uniqueId val="{00000006-312C-4187-B741-41A311C33EC8}"/>
            </c:ext>
          </c:extLst>
        </c:ser>
        <c:ser>
          <c:idx val="7"/>
          <c:order val="7"/>
          <c:tx>
            <c:strRef>
              <c:f>'PC3.01_Ind03'!$B$19</c:f>
              <c:strCache>
                <c:ptCount val="1"/>
                <c:pt idx="0">
                  <c:v>Nanociència i Nanotecnologia Avançades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'PC3.01_Ind03'!$E$19:$H$19</c15:sqref>
                  </c15:fullRef>
                </c:ext>
              </c:extLst>
              <c:f>'PC3.01_Ind03'!$E$19:$H$19</c:f>
              <c:numCache>
                <c:formatCode>0.00%</c:formatCode>
                <c:ptCount val="4"/>
                <c:pt idx="0">
                  <c:v>0.14299999999999999</c:v>
                </c:pt>
                <c:pt idx="1">
                  <c:v>0.15</c:v>
                </c:pt>
                <c:pt idx="2">
                  <c:v>8.3299999999999999E-2</c:v>
                </c:pt>
                <c:pt idx="3">
                  <c:v>0.22220000000000001</c:v>
                </c:pt>
              </c:numCache>
            </c:numRef>
          </c:val>
          <c:extLst>
            <c:ext xmlns:c16="http://schemas.microsoft.com/office/drawing/2014/chart" uri="{C3380CC4-5D6E-409C-BE32-E72D297353CC}">
              <c16:uniqueId val="{00000007-312C-4187-B741-41A311C33EC8}"/>
            </c:ext>
          </c:extLst>
        </c:ser>
        <c:ser>
          <c:idx val="8"/>
          <c:order val="8"/>
          <c:tx>
            <c:strRef>
              <c:f>'PC3.01_Ind03'!$B$21</c:f>
              <c:strCache>
                <c:ptCount val="1"/>
                <c:pt idx="0">
                  <c:v>Química Industrial i Introducció a la Recerca Química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'PC3.01_Ind03'!$E$21:$H$21</c15:sqref>
                  </c15:fullRef>
                </c:ext>
              </c:extLst>
              <c:f>'PC3.01_Ind03'!$E$21:$H$21</c:f>
              <c:numCache>
                <c:formatCode>0.00%</c:formatCode>
                <c:ptCount val="4"/>
                <c:pt idx="0">
                  <c:v>8.1000000000000003E-2</c:v>
                </c:pt>
                <c:pt idx="1">
                  <c:v>0.22</c:v>
                </c:pt>
                <c:pt idx="2">
                  <c:v>0.10249999999999999</c:v>
                </c:pt>
                <c:pt idx="3">
                  <c:v>0.37209999999999999</c:v>
                </c:pt>
              </c:numCache>
            </c:numRef>
          </c:val>
          <c:extLst>
            <c:ext xmlns:c16="http://schemas.microsoft.com/office/drawing/2014/chart" uri="{C3380CC4-5D6E-409C-BE32-E72D297353CC}">
              <c16:uniqueId val="{00000008-312C-4187-B741-41A311C33EC8}"/>
            </c:ext>
          </c:extLst>
        </c:ser>
        <c:dLbls>
          <c:showLegendKey val="0"/>
          <c:showVal val="0"/>
          <c:showCatName val="0"/>
          <c:showSerName val="0"/>
          <c:showPercent val="0"/>
          <c:showBubbleSize val="0"/>
        </c:dLbls>
        <c:gapWidth val="219"/>
        <c:axId val="1790408176"/>
        <c:axId val="1265516880"/>
      </c:barChart>
      <c:lineChart>
        <c:grouping val="standard"/>
        <c:varyColors val="0"/>
        <c:ser>
          <c:idx val="9"/>
          <c:order val="9"/>
          <c:tx>
            <c:strRef>
              <c:f>'PC3.01_Ind03'!$B$22</c:f>
              <c:strCache>
                <c:ptCount val="1"/>
                <c:pt idx="0">
                  <c:v>Objectiu</c:v>
                </c:pt>
              </c:strCache>
            </c:strRef>
          </c:tx>
          <c:spPr>
            <a:ln w="34925" cap="rnd">
              <a:solidFill>
                <a:schemeClr val="accent4">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9525">
                <a:solidFill>
                  <a:schemeClr val="accent4">
                    <a:lumMod val="60000"/>
                  </a:schemeClr>
                </a:solidFill>
                <a:round/>
              </a:ln>
              <a:effectLst>
                <a:outerShdw blurRad="57150" dist="19050" dir="5400000" algn="ctr" rotWithShape="0">
                  <a:srgbClr val="000000">
                    <a:alpha val="63000"/>
                  </a:srgbClr>
                </a:outerShdw>
              </a:effectLst>
            </c:spPr>
          </c:marker>
          <c:cat>
            <c:strLit>
              <c:ptCount val="4"/>
              <c:pt idx="0">
                <c:v>2020/2021</c:v>
              </c:pt>
              <c:pt idx="1">
                <c:v>2021/2022</c:v>
              </c:pt>
              <c:pt idx="2">
                <c:v>2022/2023</c:v>
              </c:pt>
              <c:pt idx="3">
                <c:v>2023/2024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'PC3.01_Ind03'!$E$22:$H$22</c15:sqref>
                  </c15:fullRef>
                </c:ext>
              </c:extLst>
              <c:f>'PC3.01_Ind03'!$E$22:$H$22</c:f>
              <c:numCache>
                <c:formatCode>0.00%</c:formatCode>
                <c:ptCount val="4"/>
                <c:pt idx="0">
                  <c:v>0.2</c:v>
                </c:pt>
                <c:pt idx="1">
                  <c:v>0.2</c:v>
                </c:pt>
                <c:pt idx="2">
                  <c:v>0.2</c:v>
                </c:pt>
                <c:pt idx="3">
                  <c:v>0.2</c:v>
                </c:pt>
              </c:numCache>
            </c:numRef>
          </c:val>
          <c:smooth val="0"/>
          <c:extLst>
            <c:ext xmlns:c16="http://schemas.microsoft.com/office/drawing/2014/chart" uri="{C3380CC4-5D6E-409C-BE32-E72D297353CC}">
              <c16:uniqueId val="{00000009-312C-4187-B741-41A311C33EC8}"/>
            </c:ext>
          </c:extLst>
        </c:ser>
        <c:dLbls>
          <c:showLegendKey val="0"/>
          <c:showVal val="0"/>
          <c:showCatName val="0"/>
          <c:showSerName val="0"/>
          <c:showPercent val="0"/>
          <c:showBubbleSize val="0"/>
        </c:dLbls>
        <c:marker val="1"/>
        <c:smooth val="0"/>
        <c:axId val="1790408176"/>
        <c:axId val="1265516880"/>
      </c:lineChart>
      <c:catAx>
        <c:axId val="17904081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65516880"/>
        <c:crosses val="autoZero"/>
        <c:auto val="1"/>
        <c:lblAlgn val="ctr"/>
        <c:lblOffset val="100"/>
        <c:noMultiLvlLbl val="0"/>
      </c:catAx>
      <c:valAx>
        <c:axId val="126551688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904081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800" b="1">
                <a:effectLst/>
              </a:rPr>
              <a:t>PC3.01_Ind04. Taxa de rendiment de nou accés per Grau </a:t>
            </a:r>
            <a:endParaRPr lang="ca-ES" sz="18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0.25660502754679854"/>
          <c:y val="0.18347578347578347"/>
          <c:w val="0.72295362667810714"/>
          <c:h val="0.48243780424882787"/>
        </c:manualLayout>
      </c:layout>
      <c:barChart>
        <c:barDir val="col"/>
        <c:grouping val="clustered"/>
        <c:varyColors val="0"/>
        <c:ser>
          <c:idx val="0"/>
          <c:order val="0"/>
          <c:tx>
            <c:strRef>
              <c:f>'PC3.01_Ind04 '!$H$4</c:f>
              <c:strCache>
                <c:ptCount val="1"/>
                <c:pt idx="0">
                  <c:v>Taxa de rendiment de nou accés per Grau</c:v>
                </c:pt>
              </c:strCache>
              <c:extLst xmlns:c15="http://schemas.microsoft.com/office/drawing/2012/chart"/>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'!$I$4:$J$4</c:f>
              <c:numCache>
                <c:formatCode>General</c:formatCode>
                <c:ptCount val="2"/>
              </c:numCache>
              <c:extLst xmlns:c15="http://schemas.microsoft.com/office/drawing/2012/chart"/>
            </c:numRef>
          </c:val>
          <c:extLst xmlns:c15="http://schemas.microsoft.com/office/drawing/2012/chart">
            <c:ext xmlns:c16="http://schemas.microsoft.com/office/drawing/2014/chart" uri="{C3380CC4-5D6E-409C-BE32-E72D297353CC}">
              <c16:uniqueId val="{00000006-19FD-4284-B281-30C66932DF65}"/>
            </c:ext>
          </c:extLst>
        </c:ser>
        <c:ser>
          <c:idx val="1"/>
          <c:order val="1"/>
          <c:tx>
            <c:strRef>
              <c:f>'PC3.01_Ind04 '!$B$15:$C$15</c:f>
              <c:strCache>
                <c:ptCount val="2"/>
                <c:pt idx="0">
                  <c:v>Ciències Ambientals</c:v>
                </c:pt>
              </c:strCache>
              <c:extLst xmlns:c15="http://schemas.microsoft.com/office/drawing/2012/chart"/>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'!$G$15:$J$15</c:f>
              <c:numCache>
                <c:formatCode>0%</c:formatCode>
                <c:ptCount val="4"/>
                <c:pt idx="0">
                  <c:v>0.8</c:v>
                </c:pt>
                <c:pt idx="1">
                  <c:v>0.86909999999999998</c:v>
                </c:pt>
                <c:pt idx="2">
                  <c:v>0.85</c:v>
                </c:pt>
                <c:pt idx="3">
                  <c:v>0.84</c:v>
                </c:pt>
              </c:numCache>
            </c:numRef>
          </c:val>
          <c:extLst xmlns:c15="http://schemas.microsoft.com/office/drawing/2012/chart">
            <c:ext xmlns:c16="http://schemas.microsoft.com/office/drawing/2014/chart" uri="{C3380CC4-5D6E-409C-BE32-E72D297353CC}">
              <c16:uniqueId val="{00000007-19FD-4284-B281-30C66932DF65}"/>
            </c:ext>
          </c:extLst>
        </c:ser>
        <c:ser>
          <c:idx val="2"/>
          <c:order val="2"/>
          <c:tx>
            <c:strRef>
              <c:f>'PC3.01_Ind04 '!$B$16:$C$16</c:f>
              <c:strCache>
                <c:ptCount val="2"/>
                <c:pt idx="0">
                  <c:v>Ciències Ambientals i Geologia</c:v>
                </c:pt>
              </c:strCache>
              <c:extLst xmlns:c15="http://schemas.microsoft.com/office/drawing/2012/chart"/>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'!$G$16:$J$16</c:f>
              <c:numCache>
                <c:formatCode>0%</c:formatCode>
                <c:ptCount val="4"/>
                <c:pt idx="0">
                  <c:v>0.83</c:v>
                </c:pt>
                <c:pt idx="1">
                  <c:v>0.9</c:v>
                </c:pt>
                <c:pt idx="2">
                  <c:v>0.87</c:v>
                </c:pt>
                <c:pt idx="3">
                  <c:v>0.78</c:v>
                </c:pt>
              </c:numCache>
            </c:numRef>
          </c:val>
          <c:extLst xmlns:c15="http://schemas.microsoft.com/office/drawing/2012/chart">
            <c:ext xmlns:c16="http://schemas.microsoft.com/office/drawing/2014/chart" uri="{C3380CC4-5D6E-409C-BE32-E72D297353CC}">
              <c16:uniqueId val="{00000008-19FD-4284-B281-30C66932DF65}"/>
            </c:ext>
          </c:extLst>
        </c:ser>
        <c:ser>
          <c:idx val="3"/>
          <c:order val="3"/>
          <c:tx>
            <c:strRef>
              <c:f>'PC3.01_Ind04 '!$B$17:$C$17</c:f>
              <c:strCache>
                <c:ptCount val="2"/>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'!$G$17:$J$17</c:f>
              <c:numCache>
                <c:formatCode>0%</c:formatCode>
                <c:ptCount val="4"/>
                <c:pt idx="0">
                  <c:v>0.69</c:v>
                </c:pt>
                <c:pt idx="1">
                  <c:v>0.67849999999999999</c:v>
                </c:pt>
                <c:pt idx="2">
                  <c:v>0.79</c:v>
                </c:pt>
                <c:pt idx="3">
                  <c:v>0.8</c:v>
                </c:pt>
              </c:numCache>
            </c:numRef>
          </c:val>
          <c:extLst>
            <c:ext xmlns:c16="http://schemas.microsoft.com/office/drawing/2014/chart" uri="{C3380CC4-5D6E-409C-BE32-E72D297353CC}">
              <c16:uniqueId val="{00000000-19FD-4284-B281-30C66932DF65}"/>
            </c:ext>
          </c:extLst>
        </c:ser>
        <c:ser>
          <c:idx val="4"/>
          <c:order val="4"/>
          <c:tx>
            <c:strRef>
              <c:f>'PC3.01_Ind04 '!$B$18:$C$18</c:f>
              <c:strCache>
                <c:ptCount val="2"/>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'!$G$18:$J$18</c:f>
              <c:numCache>
                <c:formatCode>0%</c:formatCode>
                <c:ptCount val="4"/>
                <c:pt idx="0">
                  <c:v>0.88</c:v>
                </c:pt>
                <c:pt idx="1">
                  <c:v>0.86529999999999996</c:v>
                </c:pt>
                <c:pt idx="2">
                  <c:v>0.85</c:v>
                </c:pt>
                <c:pt idx="3">
                  <c:v>0.88</c:v>
                </c:pt>
              </c:numCache>
            </c:numRef>
          </c:val>
          <c:extLst>
            <c:ext xmlns:c16="http://schemas.microsoft.com/office/drawing/2014/chart" uri="{C3380CC4-5D6E-409C-BE32-E72D297353CC}">
              <c16:uniqueId val="{00000001-19FD-4284-B281-30C66932DF65}"/>
            </c:ext>
          </c:extLst>
        </c:ser>
        <c:ser>
          <c:idx val="5"/>
          <c:order val="5"/>
          <c:tx>
            <c:strRef>
              <c:f>'PC3.01_Ind04 '!$B$19:$C$19</c:f>
              <c:strCache>
                <c:ptCount val="2"/>
                <c:pt idx="0">
                  <c:v>Física i Matemàtiques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'!$G$20:$J$20</c:f>
              <c:numCache>
                <c:formatCode>0%</c:formatCode>
                <c:ptCount val="4"/>
                <c:pt idx="0">
                  <c:v>0.92</c:v>
                </c:pt>
                <c:pt idx="1">
                  <c:v>0.93</c:v>
                </c:pt>
                <c:pt idx="2">
                  <c:v>0.87</c:v>
                </c:pt>
                <c:pt idx="3">
                  <c:v>0.92</c:v>
                </c:pt>
              </c:numCache>
            </c:numRef>
          </c:val>
          <c:extLst xmlns:c15="http://schemas.microsoft.com/office/drawing/2012/chart">
            <c:ext xmlns:c16="http://schemas.microsoft.com/office/drawing/2014/chart" uri="{C3380CC4-5D6E-409C-BE32-E72D297353CC}">
              <c16:uniqueId val="{00000009-19FD-4284-B281-30C66932DF65}"/>
            </c:ext>
          </c:extLst>
        </c:ser>
        <c:ser>
          <c:idx val="6"/>
          <c:order val="6"/>
          <c:tx>
            <c:strRef>
              <c:f>'PC3.01_Ind04 '!$B$20:$C$20</c:f>
              <c:strCache>
                <c:ptCount val="2"/>
                <c:pt idx="0">
                  <c:v>Física i Química</c:v>
                </c:pt>
              </c:strCache>
              <c:extLst xmlns:c15="http://schemas.microsoft.com/office/drawing/2012/chart"/>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'!$G$20:$J$20</c:f>
              <c:numCache>
                <c:formatCode>0%</c:formatCode>
                <c:ptCount val="4"/>
                <c:pt idx="0">
                  <c:v>0.92</c:v>
                </c:pt>
                <c:pt idx="1">
                  <c:v>0.93</c:v>
                </c:pt>
                <c:pt idx="2">
                  <c:v>0.87</c:v>
                </c:pt>
                <c:pt idx="3">
                  <c:v>0.92</c:v>
                </c:pt>
              </c:numCache>
            </c:numRef>
          </c:val>
          <c:extLst xmlns:c15="http://schemas.microsoft.com/office/drawing/2012/chart">
            <c:ext xmlns:c16="http://schemas.microsoft.com/office/drawing/2014/chart" uri="{C3380CC4-5D6E-409C-BE32-E72D297353CC}">
              <c16:uniqueId val="{0000000A-19FD-4284-B281-30C66932DF65}"/>
            </c:ext>
          </c:extLst>
        </c:ser>
        <c:ser>
          <c:idx val="7"/>
          <c:order val="7"/>
          <c:tx>
            <c:strRef>
              <c:f>'PC3.01_Ind04 '!$B$21:$C$21</c:f>
              <c:strCache>
                <c:ptCount val="2"/>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'!$G$21:$J$21</c:f>
              <c:numCache>
                <c:formatCode>0%</c:formatCode>
                <c:ptCount val="4"/>
                <c:pt idx="0">
                  <c:v>0.44</c:v>
                </c:pt>
                <c:pt idx="1">
                  <c:v>0.69310000000000005</c:v>
                </c:pt>
                <c:pt idx="2">
                  <c:v>0.37</c:v>
                </c:pt>
                <c:pt idx="3">
                  <c:v>0.74</c:v>
                </c:pt>
              </c:numCache>
            </c:numRef>
          </c:val>
          <c:extLst>
            <c:ext xmlns:c16="http://schemas.microsoft.com/office/drawing/2014/chart" uri="{C3380CC4-5D6E-409C-BE32-E72D297353CC}">
              <c16:uniqueId val="{00000002-19FD-4284-B281-30C66932DF65}"/>
            </c:ext>
          </c:extLst>
        </c:ser>
        <c:ser>
          <c:idx val="8"/>
          <c:order val="8"/>
          <c:tx>
            <c:strRef>
              <c:f>'PC3.01_Ind04 '!$B$22:$C$22</c:f>
              <c:strCache>
                <c:ptCount val="2"/>
                <c:pt idx="0">
                  <c:v>Matemàtica Computacional</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'!$G$22:$J$22</c:f>
              <c:numCache>
                <c:formatCode>0%</c:formatCode>
                <c:ptCount val="4"/>
                <c:pt idx="0">
                  <c:v>0.88</c:v>
                </c:pt>
                <c:pt idx="1">
                  <c:v>0.88939999999999997</c:v>
                </c:pt>
                <c:pt idx="2">
                  <c:v>0.86</c:v>
                </c:pt>
                <c:pt idx="3">
                  <c:v>0.92</c:v>
                </c:pt>
              </c:numCache>
            </c:numRef>
          </c:val>
          <c:extLst>
            <c:ext xmlns:c16="http://schemas.microsoft.com/office/drawing/2014/chart" uri="{C3380CC4-5D6E-409C-BE32-E72D297353CC}">
              <c16:uniqueId val="{00000003-19FD-4284-B281-30C66932DF65}"/>
            </c:ext>
          </c:extLst>
        </c:ser>
        <c:ser>
          <c:idx val="9"/>
          <c:order val="9"/>
          <c:tx>
            <c:strRef>
              <c:f>'PC3.01_Ind04 '!$B$23:$C$23</c:f>
              <c:strCache>
                <c:ptCount val="2"/>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'!$G$23:$J$23</c:f>
              <c:numCache>
                <c:formatCode>0%</c:formatCode>
                <c:ptCount val="4"/>
                <c:pt idx="0">
                  <c:v>0.78</c:v>
                </c:pt>
                <c:pt idx="1">
                  <c:v>0.73199999999999998</c:v>
                </c:pt>
                <c:pt idx="2">
                  <c:v>0.71</c:v>
                </c:pt>
                <c:pt idx="3">
                  <c:v>0.76</c:v>
                </c:pt>
              </c:numCache>
            </c:numRef>
          </c:val>
          <c:extLst>
            <c:ext xmlns:c16="http://schemas.microsoft.com/office/drawing/2014/chart" uri="{C3380CC4-5D6E-409C-BE32-E72D297353CC}">
              <c16:uniqueId val="{00000004-19FD-4284-B281-30C66932DF65}"/>
            </c:ext>
          </c:extLst>
        </c:ser>
        <c:ser>
          <c:idx val="10"/>
          <c:order val="10"/>
          <c:tx>
            <c:strRef>
              <c:f>'PC3.01_Ind04 '!$B$25:$C$25</c:f>
              <c:strCache>
                <c:ptCount val="2"/>
                <c:pt idx="0">
                  <c:v>Química</c:v>
                </c:pt>
              </c:strCache>
              <c:extLst xmlns:c15="http://schemas.microsoft.com/office/drawing/2012/chart"/>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'!$G$25:$J$25</c:f>
              <c:numCache>
                <c:formatCode>0%</c:formatCode>
                <c:ptCount val="4"/>
                <c:pt idx="0">
                  <c:v>0.77</c:v>
                </c:pt>
                <c:pt idx="1">
                  <c:v>0.80940000000000001</c:v>
                </c:pt>
                <c:pt idx="2">
                  <c:v>0.72</c:v>
                </c:pt>
                <c:pt idx="3">
                  <c:v>0.76</c:v>
                </c:pt>
              </c:numCache>
            </c:numRef>
          </c:val>
          <c:extLst xmlns:c15="http://schemas.microsoft.com/office/drawing/2012/chart">
            <c:ext xmlns:c16="http://schemas.microsoft.com/office/drawing/2014/chart" uri="{C3380CC4-5D6E-409C-BE32-E72D297353CC}">
              <c16:uniqueId val="{0000000B-19FD-4284-B281-30C66932DF65}"/>
            </c:ext>
          </c:extLst>
        </c:ser>
        <c:ser>
          <c:idx val="11"/>
          <c:order val="11"/>
          <c:tx>
            <c:strRef>
              <c:f>'PC3.01_Ind04 '!$B$24:$C$24</c:f>
              <c:strCache>
                <c:ptCount val="2"/>
                <c:pt idx="0">
                  <c:v>Nanociència i Nanotecnologia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'!$D$14:$H$14</c:f>
              <c:strCache>
                <c:ptCount val="5"/>
                <c:pt idx="0">
                  <c:v>2017/2018</c:v>
                </c:pt>
                <c:pt idx="1">
                  <c:v>2018/2019</c:v>
                </c:pt>
                <c:pt idx="2">
                  <c:v>2019/2020</c:v>
                </c:pt>
                <c:pt idx="3">
                  <c:v>2020/2021</c:v>
                </c:pt>
                <c:pt idx="4">
                  <c:v>2021/2022</c:v>
                </c:pt>
              </c:strCache>
            </c:strRef>
          </c:cat>
          <c:val>
            <c:numRef>
              <c:f>'PC3.01_Ind04 '!$G$24:$J$24</c:f>
              <c:numCache>
                <c:formatCode>0%</c:formatCode>
                <c:ptCount val="4"/>
                <c:pt idx="0">
                  <c:v>0.77</c:v>
                </c:pt>
                <c:pt idx="1">
                  <c:v>0.81359999999999999</c:v>
                </c:pt>
                <c:pt idx="2">
                  <c:v>0.81</c:v>
                </c:pt>
                <c:pt idx="3">
                  <c:v>0.91</c:v>
                </c:pt>
              </c:numCache>
            </c:numRef>
          </c:val>
          <c:extLst>
            <c:ext xmlns:c16="http://schemas.microsoft.com/office/drawing/2014/chart" uri="{C3380CC4-5D6E-409C-BE32-E72D297353CC}">
              <c16:uniqueId val="{00000005-19FD-4284-B281-30C66932DF65}"/>
            </c:ext>
          </c:extLst>
        </c:ser>
        <c:dLbls>
          <c:showLegendKey val="0"/>
          <c:showVal val="0"/>
          <c:showCatName val="0"/>
          <c:showSerName val="0"/>
          <c:showPercent val="0"/>
          <c:showBubbleSize val="0"/>
        </c:dLbls>
        <c:gapWidth val="150"/>
        <c:axId val="1905902191"/>
        <c:axId val="1905885551"/>
      </c:barChart>
      <c:lineChart>
        <c:grouping val="standard"/>
        <c:varyColors val="0"/>
        <c:ser>
          <c:idx val="12"/>
          <c:order val="12"/>
          <c:tx>
            <c:strRef>
              <c:f>'PC3.01_Ind04 '!$B$28:$C$28</c:f>
              <c:strCache>
                <c:ptCount val="2"/>
                <c:pt idx="0">
                  <c:v>Valor objectiu</c:v>
                </c:pt>
              </c:strCache>
            </c:strRef>
          </c:tx>
          <c:spPr>
            <a:ln w="34925" cap="rnd">
              <a:solidFill>
                <a:schemeClr val="accent1">
                  <a:lumMod val="80000"/>
                  <a:lumOff val="20000"/>
                </a:schemeClr>
              </a:solidFill>
              <a:round/>
            </a:ln>
            <a:effectLst>
              <a:outerShdw blurRad="57150" dist="19050" dir="5400000" algn="ctr" rotWithShape="0">
                <a:srgbClr val="000000">
                  <a:alpha val="63000"/>
                </a:srgbClr>
              </a:outerShdw>
            </a:effectLst>
          </c:spPr>
          <c:marker>
            <c:symbol val="none"/>
          </c:marker>
          <c:val>
            <c:numRef>
              <c:f>'PC3.01_Ind04 '!$G$28:$J$28</c:f>
              <c:numCache>
                <c:formatCode>0%</c:formatCode>
                <c:ptCount val="4"/>
                <c:pt idx="0">
                  <c:v>0.7</c:v>
                </c:pt>
                <c:pt idx="1">
                  <c:v>0.7</c:v>
                </c:pt>
                <c:pt idx="2">
                  <c:v>0.7</c:v>
                </c:pt>
                <c:pt idx="3">
                  <c:v>0.7</c:v>
                </c:pt>
              </c:numCache>
            </c:numRef>
          </c:val>
          <c:smooth val="0"/>
          <c:extLst>
            <c:ext xmlns:c16="http://schemas.microsoft.com/office/drawing/2014/chart" uri="{C3380CC4-5D6E-409C-BE32-E72D297353CC}">
              <c16:uniqueId val="{0000000C-19FD-4284-B281-30C66932DF65}"/>
            </c:ext>
          </c:extLst>
        </c:ser>
        <c:dLbls>
          <c:showLegendKey val="0"/>
          <c:showVal val="0"/>
          <c:showCatName val="0"/>
          <c:showSerName val="0"/>
          <c:showPercent val="0"/>
          <c:showBubbleSize val="0"/>
        </c:dLbls>
        <c:marker val="1"/>
        <c:smooth val="0"/>
        <c:axId val="1905902191"/>
        <c:axId val="1905885551"/>
      </c:lineChart>
      <c:catAx>
        <c:axId val="1905902191"/>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05885551"/>
        <c:crosses val="autoZero"/>
        <c:auto val="1"/>
        <c:lblAlgn val="ctr"/>
        <c:lblOffset val="100"/>
        <c:noMultiLvlLbl val="0"/>
      </c:catAx>
      <c:valAx>
        <c:axId val="1905885551"/>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05902191"/>
        <c:crosses val="autoZero"/>
        <c:crossBetween val="between"/>
      </c:valAx>
      <c:spPr>
        <a:noFill/>
        <a:ln>
          <a:noFill/>
        </a:ln>
        <a:effectLst/>
      </c:spPr>
    </c:plotArea>
    <c:legend>
      <c:legendPos val="b"/>
      <c:layout>
        <c:manualLayout>
          <c:xMode val="edge"/>
          <c:yMode val="edge"/>
          <c:x val="6.0522186395808569E-3"/>
          <c:y val="0.75514301096978276"/>
          <c:w val="0.99394778136041917"/>
          <c:h val="0.227762971936200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i="0" u="none" strike="noStrike" baseline="0">
                <a:effectLst/>
              </a:rPr>
              <a:t>PC3.02_Ind01. Valoració mitjana a l’afirmació “La tutorització ha estat útil i ha contribuït a millorar el meu aprenentatge” per titulació</a:t>
            </a:r>
            <a:endParaRPr lang="ca-ES" sz="10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'PC3.02_Ind01'!$B$32</c:f>
              <c:strCache>
                <c:ptCount val="1"/>
                <c:pt idx="0">
                  <c:v>9.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'PC3.02_Ind01'!$C$32:$E$32</c:f>
              <c:numCache>
                <c:formatCode>General</c:formatCode>
                <c:ptCount val="3"/>
              </c:numCache>
            </c:numRef>
          </c:val>
          <c:extLst>
            <c:ext xmlns:c16="http://schemas.microsoft.com/office/drawing/2014/chart" uri="{C3380CC4-5D6E-409C-BE32-E72D297353CC}">
              <c16:uniqueId val="{00000000-45AA-4851-A903-566BB9231BEE}"/>
            </c:ext>
          </c:extLst>
        </c:ser>
        <c:ser>
          <c:idx val="1"/>
          <c:order val="1"/>
          <c:tx>
            <c:strRef>
              <c:f>'PC3.02_Ind01'!$B$15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'PC3.02_Ind01'!$F$15:$I$15</c:f>
              <c:numCache>
                <c:formatCode>0.00</c:formatCode>
                <c:ptCount val="4"/>
                <c:pt idx="0">
                  <c:v>2</c:v>
                </c:pt>
                <c:pt idx="1">
                  <c:v>3.4</c:v>
                </c:pt>
                <c:pt idx="2">
                  <c:v>2.69</c:v>
                </c:pt>
                <c:pt idx="3">
                  <c:v>3.38</c:v>
                </c:pt>
              </c:numCache>
            </c:numRef>
          </c:val>
          <c:extLst>
            <c:ext xmlns:c16="http://schemas.microsoft.com/office/drawing/2014/chart" uri="{C3380CC4-5D6E-409C-BE32-E72D297353CC}">
              <c16:uniqueId val="{00000001-45AA-4851-A903-566BB9231BEE}"/>
            </c:ext>
          </c:extLst>
        </c:ser>
        <c:ser>
          <c:idx val="2"/>
          <c:order val="2"/>
          <c:tx>
            <c:strRef>
              <c:f>'PC3.02_Ind01'!$B$16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'PC3.02_Ind01'!$F$16:$I$16</c:f>
              <c:numCache>
                <c:formatCode>0.00</c:formatCode>
                <c:ptCount val="4"/>
                <c:pt idx="0">
                  <c:v>2.6</c:v>
                </c:pt>
                <c:pt idx="1">
                  <c:v>3</c:v>
                </c:pt>
                <c:pt idx="2">
                  <c:v>3.86</c:v>
                </c:pt>
                <c:pt idx="3">
                  <c:v>3</c:v>
                </c:pt>
              </c:numCache>
            </c:numRef>
          </c:val>
          <c:extLst>
            <c:ext xmlns:c16="http://schemas.microsoft.com/office/drawing/2014/chart" uri="{C3380CC4-5D6E-409C-BE32-E72D297353CC}">
              <c16:uniqueId val="{00000002-45AA-4851-A903-566BB9231BEE}"/>
            </c:ext>
          </c:extLst>
        </c:ser>
        <c:ser>
          <c:idx val="3"/>
          <c:order val="3"/>
          <c:tx>
            <c:strRef>
              <c:f>'PC3.02_Ind01'!$B$17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'PC3.02_Ind01'!$F$17:$I$17</c:f>
              <c:numCache>
                <c:formatCode>0.00</c:formatCode>
                <c:ptCount val="4"/>
                <c:pt idx="0">
                  <c:v>3.5</c:v>
                </c:pt>
                <c:pt idx="1">
                  <c:v>3</c:v>
                </c:pt>
                <c:pt idx="2">
                  <c:v>2.83</c:v>
                </c:pt>
                <c:pt idx="3">
                  <c:v>2.75</c:v>
                </c:pt>
              </c:numCache>
            </c:numRef>
          </c:val>
          <c:extLst>
            <c:ext xmlns:c16="http://schemas.microsoft.com/office/drawing/2014/chart" uri="{C3380CC4-5D6E-409C-BE32-E72D297353CC}">
              <c16:uniqueId val="{00000003-45AA-4851-A903-566BB9231BEE}"/>
            </c:ext>
          </c:extLst>
        </c:ser>
        <c:ser>
          <c:idx val="4"/>
          <c:order val="4"/>
          <c:tx>
            <c:strRef>
              <c:f>'PC3.02_Ind01'!$B$18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'PC3.02_Ind01'!$F$18:$I$18</c:f>
              <c:numCache>
                <c:formatCode>0.00</c:formatCode>
                <c:ptCount val="4"/>
                <c:pt idx="0">
                  <c:v>2.62</c:v>
                </c:pt>
                <c:pt idx="1">
                  <c:v>2.5</c:v>
                </c:pt>
                <c:pt idx="2">
                  <c:v>2.68</c:v>
                </c:pt>
                <c:pt idx="3">
                  <c:v>3.4</c:v>
                </c:pt>
              </c:numCache>
            </c:numRef>
          </c:val>
          <c:extLst>
            <c:ext xmlns:c16="http://schemas.microsoft.com/office/drawing/2014/chart" uri="{C3380CC4-5D6E-409C-BE32-E72D297353CC}">
              <c16:uniqueId val="{00000004-45AA-4851-A903-566BB9231BEE}"/>
            </c:ext>
          </c:extLst>
        </c:ser>
        <c:ser>
          <c:idx val="5"/>
          <c:order val="5"/>
          <c:tx>
            <c:strRef>
              <c:f>'PC3.02_Ind01'!$B$19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'PC3.02_Ind01'!$F$19:$I$19</c:f>
              <c:numCache>
                <c:formatCode>0.00</c:formatCode>
                <c:ptCount val="4"/>
                <c:pt idx="0">
                  <c:v>0</c:v>
                </c:pt>
                <c:pt idx="1">
                  <c:v>4</c:v>
                </c:pt>
                <c:pt idx="2">
                  <c:v>2.89</c:v>
                </c:pt>
                <c:pt idx="3">
                  <c:v>3.57</c:v>
                </c:pt>
              </c:numCache>
            </c:numRef>
          </c:val>
          <c:extLst>
            <c:ext xmlns:c16="http://schemas.microsoft.com/office/drawing/2014/chart" uri="{C3380CC4-5D6E-409C-BE32-E72D297353CC}">
              <c16:uniqueId val="{00000005-45AA-4851-A903-566BB9231BEE}"/>
            </c:ext>
          </c:extLst>
        </c:ser>
        <c:ser>
          <c:idx val="6"/>
          <c:order val="6"/>
          <c:tx>
            <c:strRef>
              <c:f>'PC3.02_Ind01'!$B$20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'PC3.02_Ind01'!$F$20:$I$20</c:f>
              <c:numCache>
                <c:formatCode>0.00</c:formatCode>
                <c:ptCount val="4"/>
                <c:pt idx="0">
                  <c:v>0</c:v>
                </c:pt>
                <c:pt idx="1">
                  <c:v>3.5</c:v>
                </c:pt>
                <c:pt idx="2">
                  <c:v>3.88</c:v>
                </c:pt>
                <c:pt idx="3">
                  <c:v>3.17</c:v>
                </c:pt>
              </c:numCache>
            </c:numRef>
          </c:val>
          <c:extLst>
            <c:ext xmlns:c16="http://schemas.microsoft.com/office/drawing/2014/chart" uri="{C3380CC4-5D6E-409C-BE32-E72D297353CC}">
              <c16:uniqueId val="{00000006-45AA-4851-A903-566BB9231BEE}"/>
            </c:ext>
          </c:extLst>
        </c:ser>
        <c:ser>
          <c:idx val="7"/>
          <c:order val="7"/>
          <c:tx>
            <c:strRef>
              <c:f>'PC3.02_Ind01'!$B$21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'PC3.02_Ind01'!$F$21:$I$21</c:f>
              <c:numCache>
                <c:formatCode>0.00</c:formatCode>
                <c:ptCount val="4"/>
                <c:pt idx="0">
                  <c:v>0</c:v>
                </c:pt>
                <c:pt idx="1">
                  <c:v>0</c:v>
                </c:pt>
                <c:pt idx="2">
                  <c:v>3.14</c:v>
                </c:pt>
                <c:pt idx="3">
                  <c:v>0</c:v>
                </c:pt>
              </c:numCache>
            </c:numRef>
          </c:val>
          <c:extLst>
            <c:ext xmlns:c16="http://schemas.microsoft.com/office/drawing/2014/chart" uri="{C3380CC4-5D6E-409C-BE32-E72D297353CC}">
              <c16:uniqueId val="{00000007-45AA-4851-A903-566BB9231BEE}"/>
            </c:ext>
          </c:extLst>
        </c:ser>
        <c:ser>
          <c:idx val="8"/>
          <c:order val="8"/>
          <c:tx>
            <c:strRef>
              <c:f>'PC3.02_Ind01'!$B$22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'PC3.02_Ind01'!$F$22:$I$22</c:f>
              <c:numCache>
                <c:formatCode>0.00</c:formatCode>
                <c:ptCount val="4"/>
                <c:pt idx="0">
                  <c:v>0</c:v>
                </c:pt>
                <c:pt idx="1">
                  <c:v>0</c:v>
                </c:pt>
                <c:pt idx="2">
                  <c:v>4</c:v>
                </c:pt>
                <c:pt idx="3">
                  <c:v>3.55</c:v>
                </c:pt>
              </c:numCache>
            </c:numRef>
          </c:val>
          <c:extLst>
            <c:ext xmlns:c16="http://schemas.microsoft.com/office/drawing/2014/chart" uri="{C3380CC4-5D6E-409C-BE32-E72D297353CC}">
              <c16:uniqueId val="{00000008-45AA-4851-A903-566BB9231BEE}"/>
            </c:ext>
          </c:extLst>
        </c:ser>
        <c:ser>
          <c:idx val="9"/>
          <c:order val="9"/>
          <c:tx>
            <c:strRef>
              <c:f>'PC3.02_Ind01'!$B$23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'PC3.02_Ind01'!$F$23:$I$23</c:f>
              <c:numCache>
                <c:formatCode>0.00</c:formatCode>
                <c:ptCount val="4"/>
                <c:pt idx="0">
                  <c:v>3.09</c:v>
                </c:pt>
                <c:pt idx="1">
                  <c:v>2.4</c:v>
                </c:pt>
                <c:pt idx="2">
                  <c:v>3.4</c:v>
                </c:pt>
                <c:pt idx="3">
                  <c:v>3.36</c:v>
                </c:pt>
              </c:numCache>
            </c:numRef>
          </c:val>
          <c:extLst>
            <c:ext xmlns:c16="http://schemas.microsoft.com/office/drawing/2014/chart" uri="{C3380CC4-5D6E-409C-BE32-E72D297353CC}">
              <c16:uniqueId val="{00000009-45AA-4851-A903-566BB9231BEE}"/>
            </c:ext>
          </c:extLst>
        </c:ser>
        <c:ser>
          <c:idx val="10"/>
          <c:order val="10"/>
          <c:tx>
            <c:strRef>
              <c:f>'PC3.02_Ind01'!$B$24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'PC3.02_Ind01'!$F$24:$I$24</c:f>
              <c:numCache>
                <c:formatCode>0.00</c:formatCode>
                <c:ptCount val="4"/>
                <c:pt idx="0">
                  <c:v>3.4</c:v>
                </c:pt>
                <c:pt idx="1">
                  <c:v>1.5</c:v>
                </c:pt>
                <c:pt idx="2">
                  <c:v>3.27</c:v>
                </c:pt>
                <c:pt idx="3">
                  <c:v>3.07</c:v>
                </c:pt>
              </c:numCache>
            </c:numRef>
          </c:val>
          <c:extLst>
            <c:ext xmlns:c16="http://schemas.microsoft.com/office/drawing/2014/chart" uri="{C3380CC4-5D6E-409C-BE32-E72D297353CC}">
              <c16:uniqueId val="{0000000A-45AA-4851-A903-566BB9231BEE}"/>
            </c:ext>
          </c:extLst>
        </c:ser>
        <c:ser>
          <c:idx val="11"/>
          <c:order val="11"/>
          <c:tx>
            <c:strRef>
              <c:f>'PC3.02_Ind01'!$B$25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'PC3.02_Ind01'!$F$25:$I$25</c:f>
              <c:numCache>
                <c:formatCode>0.00</c:formatCode>
                <c:ptCount val="4"/>
                <c:pt idx="0">
                  <c:v>3.25</c:v>
                </c:pt>
                <c:pt idx="1">
                  <c:v>3.75</c:v>
                </c:pt>
                <c:pt idx="2">
                  <c:v>3.53</c:v>
                </c:pt>
                <c:pt idx="3">
                  <c:v>4</c:v>
                </c:pt>
              </c:numCache>
            </c:numRef>
          </c:val>
          <c:extLst>
            <c:ext xmlns:c16="http://schemas.microsoft.com/office/drawing/2014/chart" uri="{C3380CC4-5D6E-409C-BE32-E72D297353CC}">
              <c16:uniqueId val="{0000000B-45AA-4851-A903-566BB9231BEE}"/>
            </c:ext>
          </c:extLst>
        </c:ser>
        <c:dLbls>
          <c:showLegendKey val="0"/>
          <c:showVal val="0"/>
          <c:showCatName val="0"/>
          <c:showSerName val="0"/>
          <c:showPercent val="0"/>
          <c:showBubbleSize val="0"/>
        </c:dLbls>
        <c:gapWidth val="100"/>
        <c:axId val="1795523824"/>
        <c:axId val="1349652096"/>
      </c:barChart>
      <c:lineChart>
        <c:grouping val="standard"/>
        <c:varyColors val="0"/>
        <c:ser>
          <c:idx val="12"/>
          <c:order val="12"/>
          <c:tx>
            <c:strRef>
              <c:f>'PC3.02_Ind01'!$B$28</c:f>
              <c:strCache>
                <c:ptCount val="1"/>
                <c:pt idx="0">
                  <c:v>Valor objectiu</c:v>
                </c:pt>
              </c:strCache>
            </c:strRef>
          </c:tx>
          <c:spPr>
            <a:ln w="34925" cap="rnd">
              <a:solidFill>
                <a:schemeClr val="accent1">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9525">
                <a:solidFill>
                  <a:schemeClr val="accent1">
                    <a:lumMod val="80000"/>
                    <a:lumOff val="20000"/>
                  </a:schemeClr>
                </a:solidFill>
                <a:round/>
              </a:ln>
              <a:effectLst>
                <a:outerShdw blurRad="57150" dist="19050" dir="5400000" algn="ctr" rotWithShape="0">
                  <a:srgbClr val="000000">
                    <a:alpha val="63000"/>
                  </a:srgbClr>
                </a:outerShdw>
              </a:effectLst>
            </c:spPr>
          </c:marker>
          <c:cat>
            <c:strRef>
              <c:f>'PC3.02_Ind01'!$D$14:$H$14</c:f>
              <c:strCache>
                <c:ptCount val="5"/>
                <c:pt idx="0">
                  <c:v>2017/2018</c:v>
                </c:pt>
                <c:pt idx="1">
                  <c:v>2018/2019</c:v>
                </c:pt>
                <c:pt idx="2">
                  <c:v>2019/2020</c:v>
                </c:pt>
                <c:pt idx="3">
                  <c:v>2020/2021</c:v>
                </c:pt>
                <c:pt idx="4">
                  <c:v>2021/2022</c:v>
                </c:pt>
              </c:strCache>
            </c:strRef>
          </c:cat>
          <c:val>
            <c:numRef>
              <c:f>'PC3.02_Ind01'!$F$28:$I$28</c:f>
              <c:numCache>
                <c:formatCode>0.00</c:formatCode>
                <c:ptCount val="4"/>
                <c:pt idx="0">
                  <c:v>3</c:v>
                </c:pt>
                <c:pt idx="1">
                  <c:v>3</c:v>
                </c:pt>
                <c:pt idx="2">
                  <c:v>3</c:v>
                </c:pt>
                <c:pt idx="3">
                  <c:v>3</c:v>
                </c:pt>
              </c:numCache>
            </c:numRef>
          </c:val>
          <c:smooth val="0"/>
          <c:extLst>
            <c:ext xmlns:c16="http://schemas.microsoft.com/office/drawing/2014/chart" uri="{C3380CC4-5D6E-409C-BE32-E72D297353CC}">
              <c16:uniqueId val="{0000000C-45AA-4851-A903-566BB9231BEE}"/>
            </c:ext>
          </c:extLst>
        </c:ser>
        <c:dLbls>
          <c:showLegendKey val="0"/>
          <c:showVal val="0"/>
          <c:showCatName val="0"/>
          <c:showSerName val="0"/>
          <c:showPercent val="0"/>
          <c:showBubbleSize val="0"/>
        </c:dLbls>
        <c:marker val="1"/>
        <c:smooth val="0"/>
        <c:axId val="1795523824"/>
        <c:axId val="1349652096"/>
      </c:lineChart>
      <c:catAx>
        <c:axId val="17955238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9652096"/>
        <c:crosses val="autoZero"/>
        <c:auto val="1"/>
        <c:lblAlgn val="ctr"/>
        <c:lblOffset val="100"/>
        <c:noMultiLvlLbl val="0"/>
      </c:catAx>
      <c:valAx>
        <c:axId val="13496520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95523824"/>
        <c:crosses val="autoZero"/>
        <c:crossBetween val="between"/>
      </c:valAx>
      <c:spPr>
        <a:noFill/>
        <a:ln>
          <a:noFill/>
        </a:ln>
        <a:effectLst/>
      </c:spPr>
    </c:plotArea>
    <c:legend>
      <c:legendPos val="r"/>
      <c:legendEntry>
        <c:idx val="0"/>
        <c:delete val="1"/>
      </c:legendEntry>
      <c:legendEntry>
        <c:idx val="2"/>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Entry>
      <c:layout>
        <c:manualLayout>
          <c:xMode val="edge"/>
          <c:yMode val="edge"/>
          <c:x val="0.67580314613159986"/>
          <c:y val="0.17965271582431505"/>
          <c:w val="0.32419685386840025"/>
          <c:h val="0.765489313835770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800" b="1" i="0" baseline="0">
                <a:effectLst>
                  <a:outerShdw blurRad="50800" dist="38100" dir="5400000" algn="t" rotWithShape="0">
                    <a:srgbClr val="000000">
                      <a:alpha val="40000"/>
                    </a:srgbClr>
                  </a:outerShdw>
                </a:effectLst>
              </a:rPr>
              <a:t>PC3.03_Ind01 Nombre de convenis de Mobilitat (&gt; o = 100)</a:t>
            </a:r>
            <a:endParaRPr lang="ca-ES">
              <a:effectLst/>
            </a:endParaRPr>
          </a:p>
        </c:rich>
      </c:tx>
      <c:layout>
        <c:manualLayout>
          <c:xMode val="edge"/>
          <c:yMode val="edge"/>
          <c:x val="0.13748622067969946"/>
          <c:y val="0"/>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'PC3.03_Ind01'!$D$13</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'PC3.03_Ind01'!$E$14:$H$14</c:f>
              <c:strCache>
                <c:ptCount val="4"/>
                <c:pt idx="0">
                  <c:v>2020/2021</c:v>
                </c:pt>
                <c:pt idx="1">
                  <c:v>2021/2022</c:v>
                </c:pt>
                <c:pt idx="2">
                  <c:v>2022/2023</c:v>
                </c:pt>
                <c:pt idx="3">
                  <c:v>2023/2024</c:v>
                </c:pt>
              </c:strCache>
            </c:strRef>
          </c:cat>
          <c:val>
            <c:numRef>
              <c:f>'PC3.03_Ind01'!$D$14:$F$14</c:f>
              <c:numCache>
                <c:formatCode>General</c:formatCode>
                <c:ptCount val="3"/>
                <c:pt idx="0">
                  <c:v>0</c:v>
                </c:pt>
                <c:pt idx="1">
                  <c:v>0</c:v>
                </c:pt>
                <c:pt idx="2">
                  <c:v>0</c:v>
                </c:pt>
              </c:numCache>
            </c:numRef>
          </c:val>
          <c:extLst>
            <c:ext xmlns:c16="http://schemas.microsoft.com/office/drawing/2014/chart" uri="{C3380CC4-5D6E-409C-BE32-E72D297353CC}">
              <c16:uniqueId val="{00000000-4385-4C3F-9EC1-715813382801}"/>
            </c:ext>
          </c:extLst>
        </c:ser>
        <c:ser>
          <c:idx val="1"/>
          <c:order val="1"/>
          <c:tx>
            <c:strRef>
              <c:f>'PC3.03_Ind01'!$B$31</c:f>
              <c:strCache>
                <c:ptCount val="1"/>
                <c:pt idx="0">
                  <c:v>Total (ERASMUS+SICUE+EXCHANGE PROGRAM)</c:v>
                </c:pt>
              </c:strCache>
            </c:strRef>
          </c:tx>
          <c:spPr>
            <a:solidFill>
              <a:schemeClr val="accent6"/>
            </a:solidFill>
            <a:ln>
              <a:noFill/>
            </a:ln>
            <a:effectLst>
              <a:outerShdw blurRad="57150" dist="19050" dir="5400000" algn="ctr" rotWithShape="0">
                <a:srgbClr val="000000">
                  <a:alpha val="63000"/>
                </a:srgbClr>
              </a:outerShdw>
            </a:effectLst>
          </c:spPr>
          <c:invertIfNegative val="0"/>
          <c:dPt>
            <c:idx val="1"/>
            <c:invertIfNegative val="0"/>
            <c:bubble3D val="0"/>
            <c:spPr>
              <a:solidFill>
                <a:schemeClr val="accent6"/>
              </a:solidFill>
              <a:ln>
                <a:solidFill>
                  <a:schemeClr val="accent6"/>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2BB-4161-9A9E-46A02E52716D}"/>
              </c:ext>
            </c:extLst>
          </c:dPt>
          <c:cat>
            <c:strRef>
              <c:f>'PC3.03_Ind01'!$E$14:$H$14</c:f>
              <c:strCache>
                <c:ptCount val="4"/>
                <c:pt idx="0">
                  <c:v>2020/2021</c:v>
                </c:pt>
                <c:pt idx="1">
                  <c:v>2021/2022</c:v>
                </c:pt>
                <c:pt idx="2">
                  <c:v>2022/2023</c:v>
                </c:pt>
                <c:pt idx="3">
                  <c:v>2023/2024</c:v>
                </c:pt>
              </c:strCache>
            </c:strRef>
          </c:cat>
          <c:val>
            <c:numRef>
              <c:f>'PC3.03_Ind01'!$E$31:$H$31</c:f>
              <c:numCache>
                <c:formatCode>General</c:formatCode>
                <c:ptCount val="4"/>
                <c:pt idx="0">
                  <c:v>318</c:v>
                </c:pt>
                <c:pt idx="1">
                  <c:v>324</c:v>
                </c:pt>
                <c:pt idx="2">
                  <c:v>296</c:v>
                </c:pt>
                <c:pt idx="3">
                  <c:v>297</c:v>
                </c:pt>
              </c:numCache>
            </c:numRef>
          </c:val>
          <c:extLst>
            <c:ext xmlns:c16="http://schemas.microsoft.com/office/drawing/2014/chart" uri="{C3380CC4-5D6E-409C-BE32-E72D297353CC}">
              <c16:uniqueId val="{00000003-4385-4C3F-9EC1-715813382801}"/>
            </c:ext>
          </c:extLst>
        </c:ser>
        <c:dLbls>
          <c:showLegendKey val="0"/>
          <c:showVal val="0"/>
          <c:showCatName val="0"/>
          <c:showSerName val="0"/>
          <c:showPercent val="0"/>
          <c:showBubbleSize val="0"/>
        </c:dLbls>
        <c:gapWidth val="219"/>
        <c:axId val="705518559"/>
        <c:axId val="1358653519"/>
      </c:barChart>
      <c:lineChart>
        <c:grouping val="standard"/>
        <c:varyColors val="0"/>
        <c:ser>
          <c:idx val="2"/>
          <c:order val="2"/>
          <c:tx>
            <c:strRef>
              <c:f>'PC3.03_Ind01'!$B$32</c:f>
              <c:strCache>
                <c:ptCount val="1"/>
                <c:pt idx="0">
                  <c:v>Valor 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'PC3.03_Ind01'!$D$14:$F$14</c:f>
              <c:strCache>
                <c:ptCount val="3"/>
                <c:pt idx="0">
                  <c:v>2019/2020</c:v>
                </c:pt>
                <c:pt idx="1">
                  <c:v>2020/2021</c:v>
                </c:pt>
                <c:pt idx="2">
                  <c:v>2021/2022</c:v>
                </c:pt>
              </c:strCache>
            </c:strRef>
          </c:cat>
          <c:val>
            <c:numRef>
              <c:f>'PC3.03_Ind01'!$D$32:$G$32</c:f>
              <c:numCache>
                <c:formatCode>0.00</c:formatCode>
                <c:ptCount val="4"/>
                <c:pt idx="0">
                  <c:v>100</c:v>
                </c:pt>
                <c:pt idx="1">
                  <c:v>100</c:v>
                </c:pt>
                <c:pt idx="2">
                  <c:v>100</c:v>
                </c:pt>
                <c:pt idx="3">
                  <c:v>100</c:v>
                </c:pt>
              </c:numCache>
            </c:numRef>
          </c:val>
          <c:smooth val="0"/>
          <c:extLst>
            <c:ext xmlns:c16="http://schemas.microsoft.com/office/drawing/2014/chart" uri="{C3380CC4-5D6E-409C-BE32-E72D297353CC}">
              <c16:uniqueId val="{00000004-4385-4C3F-9EC1-715813382801}"/>
            </c:ext>
          </c:extLst>
        </c:ser>
        <c:dLbls>
          <c:showLegendKey val="0"/>
          <c:showVal val="0"/>
          <c:showCatName val="0"/>
          <c:showSerName val="0"/>
          <c:showPercent val="0"/>
          <c:showBubbleSize val="0"/>
        </c:dLbls>
        <c:marker val="1"/>
        <c:smooth val="0"/>
        <c:axId val="705518559"/>
        <c:axId val="1358653519"/>
      </c:lineChart>
      <c:catAx>
        <c:axId val="705518559"/>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8653519"/>
        <c:crosses val="autoZero"/>
        <c:auto val="1"/>
        <c:lblAlgn val="ctr"/>
        <c:lblOffset val="100"/>
        <c:noMultiLvlLbl val="0"/>
      </c:catAx>
      <c:valAx>
        <c:axId val="1358653519"/>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705518559"/>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600" b="1" i="0" u="none" strike="noStrike" baseline="0">
                <a:effectLst/>
              </a:rPr>
              <a:t>PC3.03_Ind02. Valoració mitjana a l’afirmació “Les accions de mobilitat que he realitzat han estat rellevants per al meu aprenentatge</a:t>
            </a:r>
            <a:endParaRPr lang="ca-E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7.0139107611548554E-2"/>
          <c:y val="6.4814814814814811E-2"/>
          <c:w val="0.9020831146106737"/>
          <c:h val="0.84731481481481485"/>
        </c:manualLayout>
      </c:layout>
      <c:barChart>
        <c:barDir val="col"/>
        <c:grouping val="clustered"/>
        <c:varyColors val="0"/>
        <c:ser>
          <c:idx val="0"/>
          <c:order val="0"/>
          <c:tx>
            <c:strRef>
              <c:f>'PC3.03_Ind02'!$B$14</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'PC3.03_Ind02'!$D$14:$H$14</c:f>
              <c:numCache>
                <c:formatCode>General</c:formatCode>
                <c:ptCount val="5"/>
                <c:pt idx="0">
                  <c:v>2.9</c:v>
                </c:pt>
                <c:pt idx="1">
                  <c:v>0</c:v>
                </c:pt>
                <c:pt idx="2">
                  <c:v>4.33</c:v>
                </c:pt>
                <c:pt idx="3">
                  <c:v>2.75</c:v>
                </c:pt>
                <c:pt idx="4">
                  <c:v>3.93</c:v>
                </c:pt>
              </c:numCache>
            </c:numRef>
          </c:val>
          <c:extLst>
            <c:ext xmlns:c16="http://schemas.microsoft.com/office/drawing/2014/chart" uri="{C3380CC4-5D6E-409C-BE32-E72D297353CC}">
              <c16:uniqueId val="{00000000-F52F-4D25-909C-EADBFABE95B0}"/>
            </c:ext>
          </c:extLst>
        </c:ser>
        <c:ser>
          <c:idx val="1"/>
          <c:order val="1"/>
          <c:tx>
            <c:strRef>
              <c:f>'PC3.03_Ind02'!$B$15</c:f>
              <c:strCache>
                <c:ptCount val="1"/>
                <c:pt idx="0">
                  <c:v>Ciències Ambientals +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'PC3.03_Ind02'!$D$15:$H$15</c:f>
              <c:numCache>
                <c:formatCode>General</c:formatCode>
                <c:ptCount val="5"/>
                <c:pt idx="0">
                  <c:v>0</c:v>
                </c:pt>
                <c:pt idx="1">
                  <c:v>0</c:v>
                </c:pt>
                <c:pt idx="2">
                  <c:v>3.8</c:v>
                </c:pt>
                <c:pt idx="3">
                  <c:v>3</c:v>
                </c:pt>
                <c:pt idx="4">
                  <c:v>4.2</c:v>
                </c:pt>
              </c:numCache>
            </c:numRef>
          </c:val>
          <c:extLst>
            <c:ext xmlns:c16="http://schemas.microsoft.com/office/drawing/2014/chart" uri="{C3380CC4-5D6E-409C-BE32-E72D297353CC}">
              <c16:uniqueId val="{00000001-F52F-4D25-909C-EADBFABE95B0}"/>
            </c:ext>
          </c:extLst>
        </c:ser>
        <c:ser>
          <c:idx val="2"/>
          <c:order val="2"/>
          <c:tx>
            <c:strRef>
              <c:f>'PC3.03_Ind02'!$B$16</c:f>
              <c:strCache>
                <c:ptCount val="1"/>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'PC3.03_Ind02'!$D$16:$H$16</c:f>
              <c:numCache>
                <c:formatCode>General</c:formatCode>
                <c:ptCount val="5"/>
                <c:pt idx="0">
                  <c:v>0</c:v>
                </c:pt>
                <c:pt idx="1">
                  <c:v>2.5</c:v>
                </c:pt>
                <c:pt idx="2">
                  <c:v>3.17</c:v>
                </c:pt>
                <c:pt idx="3">
                  <c:v>1</c:v>
                </c:pt>
                <c:pt idx="4">
                  <c:v>3.8</c:v>
                </c:pt>
              </c:numCache>
            </c:numRef>
          </c:val>
          <c:extLst>
            <c:ext xmlns:c16="http://schemas.microsoft.com/office/drawing/2014/chart" uri="{C3380CC4-5D6E-409C-BE32-E72D297353CC}">
              <c16:uniqueId val="{00000002-F52F-4D25-909C-EADBFABE95B0}"/>
            </c:ext>
          </c:extLst>
        </c:ser>
        <c:ser>
          <c:idx val="3"/>
          <c:order val="3"/>
          <c:tx>
            <c:strRef>
              <c:f>'PC3.03_Ind02'!$B$17</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'PC3.03_Ind02'!$D$17:$H$17</c:f>
              <c:numCache>
                <c:formatCode>General</c:formatCode>
                <c:ptCount val="5"/>
                <c:pt idx="0">
                  <c:v>2.33</c:v>
                </c:pt>
                <c:pt idx="1">
                  <c:v>3.27</c:v>
                </c:pt>
                <c:pt idx="2">
                  <c:v>3.45</c:v>
                </c:pt>
                <c:pt idx="3">
                  <c:v>3.33</c:v>
                </c:pt>
                <c:pt idx="4">
                  <c:v>3.25</c:v>
                </c:pt>
              </c:numCache>
            </c:numRef>
          </c:val>
          <c:extLst>
            <c:ext xmlns:c16="http://schemas.microsoft.com/office/drawing/2014/chart" uri="{C3380CC4-5D6E-409C-BE32-E72D297353CC}">
              <c16:uniqueId val="{00000003-F52F-4D25-909C-EADBFABE95B0}"/>
            </c:ext>
          </c:extLst>
        </c:ser>
        <c:ser>
          <c:idx val="4"/>
          <c:order val="4"/>
          <c:tx>
            <c:strRef>
              <c:f>'PC3.03_Ind02'!$B$18</c:f>
              <c:strCache>
                <c:ptCount val="1"/>
                <c:pt idx="0">
                  <c:v>Física +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'PC3.03_Ind02'!$D$18:$H$18</c:f>
              <c:numCache>
                <c:formatCode>General</c:formatCode>
                <c:ptCount val="5"/>
                <c:pt idx="0">
                  <c:v>0</c:v>
                </c:pt>
                <c:pt idx="1">
                  <c:v>0</c:v>
                </c:pt>
                <c:pt idx="2">
                  <c:v>0</c:v>
                </c:pt>
                <c:pt idx="3">
                  <c:v>3</c:v>
                </c:pt>
                <c:pt idx="4">
                  <c:v>5</c:v>
                </c:pt>
              </c:numCache>
            </c:numRef>
          </c:val>
          <c:extLst>
            <c:ext xmlns:c16="http://schemas.microsoft.com/office/drawing/2014/chart" uri="{C3380CC4-5D6E-409C-BE32-E72D297353CC}">
              <c16:uniqueId val="{00000004-F52F-4D25-909C-EADBFABE95B0}"/>
            </c:ext>
          </c:extLst>
        </c:ser>
        <c:ser>
          <c:idx val="5"/>
          <c:order val="5"/>
          <c:tx>
            <c:strRef>
              <c:f>'PC3.03_Ind02'!$B$19</c:f>
              <c:strCache>
                <c:ptCount val="1"/>
                <c:pt idx="0">
                  <c:v>Física +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'PC3.03_Ind02'!$D$19:$H$19</c:f>
              <c:numCache>
                <c:formatCode>General</c:formatCode>
                <c:ptCount val="5"/>
                <c:pt idx="0">
                  <c:v>2.83</c:v>
                </c:pt>
                <c:pt idx="1">
                  <c:v>2</c:v>
                </c:pt>
                <c:pt idx="2">
                  <c:v>0</c:v>
                </c:pt>
                <c:pt idx="3">
                  <c:v>2.33</c:v>
                </c:pt>
                <c:pt idx="4">
                  <c:v>3.83</c:v>
                </c:pt>
              </c:numCache>
            </c:numRef>
          </c:val>
          <c:extLst>
            <c:ext xmlns:c16="http://schemas.microsoft.com/office/drawing/2014/chart" uri="{C3380CC4-5D6E-409C-BE32-E72D297353CC}">
              <c16:uniqueId val="{00000005-F52F-4D25-909C-EADBFABE95B0}"/>
            </c:ext>
          </c:extLst>
        </c:ser>
        <c:ser>
          <c:idx val="6"/>
          <c:order val="6"/>
          <c:tx>
            <c:strRef>
              <c:f>'PC3.03_Ind02'!$B$20</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'PC3.03_Ind02'!$D$20:$H$20</c:f>
              <c:numCache>
                <c:formatCode>General</c:formatCode>
                <c:ptCount val="5"/>
                <c:pt idx="0">
                  <c:v>3.6</c:v>
                </c:pt>
                <c:pt idx="1">
                  <c:v>0</c:v>
                </c:pt>
                <c:pt idx="2">
                  <c:v>0</c:v>
                </c:pt>
                <c:pt idx="3">
                  <c:v>0</c:v>
                </c:pt>
                <c:pt idx="4">
                  <c:v>3.67</c:v>
                </c:pt>
              </c:numCache>
            </c:numRef>
          </c:val>
          <c:extLst>
            <c:ext xmlns:c16="http://schemas.microsoft.com/office/drawing/2014/chart" uri="{C3380CC4-5D6E-409C-BE32-E72D297353CC}">
              <c16:uniqueId val="{00000006-F52F-4D25-909C-EADBFABE95B0}"/>
            </c:ext>
          </c:extLst>
        </c:ser>
        <c:ser>
          <c:idx val="7"/>
          <c:order val="7"/>
          <c:tx>
            <c:strRef>
              <c:f>'PC3.03_Ind02'!$B$21</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'PC3.03_Ind02'!$D$21:$H$21</c:f>
              <c:numCache>
                <c:formatCode>General</c:formatCode>
                <c:ptCount val="5"/>
                <c:pt idx="0">
                  <c:v>0</c:v>
                </c:pt>
                <c:pt idx="1">
                  <c:v>0</c:v>
                </c:pt>
                <c:pt idx="2">
                  <c:v>0</c:v>
                </c:pt>
                <c:pt idx="3">
                  <c:v>0</c:v>
                </c:pt>
                <c:pt idx="4">
                  <c:v>4</c:v>
                </c:pt>
              </c:numCache>
            </c:numRef>
          </c:val>
          <c:extLst>
            <c:ext xmlns:c16="http://schemas.microsoft.com/office/drawing/2014/chart" uri="{C3380CC4-5D6E-409C-BE32-E72D297353CC}">
              <c16:uniqueId val="{00000007-F52F-4D25-909C-EADBFABE95B0}"/>
            </c:ext>
          </c:extLst>
        </c:ser>
        <c:ser>
          <c:idx val="8"/>
          <c:order val="8"/>
          <c:tx>
            <c:strRef>
              <c:f>'PC3.03_Ind02'!$B$22</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'PC3.03_Ind02'!$D$22:$H$22</c:f>
              <c:numCache>
                <c:formatCode>General</c:formatCode>
                <c:ptCount val="5"/>
                <c:pt idx="0">
                  <c:v>3.22</c:v>
                </c:pt>
                <c:pt idx="1">
                  <c:v>3.2</c:v>
                </c:pt>
                <c:pt idx="2">
                  <c:v>2.91</c:v>
                </c:pt>
                <c:pt idx="3">
                  <c:v>2.5</c:v>
                </c:pt>
                <c:pt idx="4">
                  <c:v>3.31</c:v>
                </c:pt>
              </c:numCache>
            </c:numRef>
          </c:val>
          <c:extLst>
            <c:ext xmlns:c16="http://schemas.microsoft.com/office/drawing/2014/chart" uri="{C3380CC4-5D6E-409C-BE32-E72D297353CC}">
              <c16:uniqueId val="{00000008-F52F-4D25-909C-EADBFABE95B0}"/>
            </c:ext>
          </c:extLst>
        </c:ser>
        <c:ser>
          <c:idx val="9"/>
          <c:order val="9"/>
          <c:tx>
            <c:strRef>
              <c:f>'PC3.03_Ind02'!$B$23</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'PC3.03_Ind02'!$D$23:$H$23</c:f>
              <c:numCache>
                <c:formatCode>General</c:formatCode>
                <c:ptCount val="5"/>
                <c:pt idx="0">
                  <c:v>3.5</c:v>
                </c:pt>
                <c:pt idx="1">
                  <c:v>2.33</c:v>
                </c:pt>
                <c:pt idx="2">
                  <c:v>3.85</c:v>
                </c:pt>
                <c:pt idx="3">
                  <c:v>2.5</c:v>
                </c:pt>
                <c:pt idx="4">
                  <c:v>3.57</c:v>
                </c:pt>
              </c:numCache>
            </c:numRef>
          </c:val>
          <c:extLst>
            <c:ext xmlns:c16="http://schemas.microsoft.com/office/drawing/2014/chart" uri="{C3380CC4-5D6E-409C-BE32-E72D297353CC}">
              <c16:uniqueId val="{00000009-F52F-4D25-909C-EADBFABE95B0}"/>
            </c:ext>
          </c:extLst>
        </c:ser>
        <c:ser>
          <c:idx val="10"/>
          <c:order val="10"/>
          <c:tx>
            <c:strRef>
              <c:f>'PC3.03_Ind02'!$B$24</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'PC3.03_Ind02'!$D$24:$H$24</c:f>
              <c:numCache>
                <c:formatCode>General</c:formatCode>
                <c:ptCount val="5"/>
                <c:pt idx="0">
                  <c:v>3.19</c:v>
                </c:pt>
                <c:pt idx="1">
                  <c:v>2.67</c:v>
                </c:pt>
                <c:pt idx="2">
                  <c:v>1.92</c:v>
                </c:pt>
                <c:pt idx="3">
                  <c:v>3.33</c:v>
                </c:pt>
                <c:pt idx="4">
                  <c:v>3.45</c:v>
                </c:pt>
              </c:numCache>
            </c:numRef>
          </c:val>
          <c:extLst>
            <c:ext xmlns:c16="http://schemas.microsoft.com/office/drawing/2014/chart" uri="{C3380CC4-5D6E-409C-BE32-E72D297353CC}">
              <c16:uniqueId val="{0000000A-F52F-4D25-909C-EADBFABE95B0}"/>
            </c:ext>
          </c:extLst>
        </c:ser>
        <c:dLbls>
          <c:showLegendKey val="0"/>
          <c:showVal val="0"/>
          <c:showCatName val="0"/>
          <c:showSerName val="0"/>
          <c:showPercent val="0"/>
          <c:showBubbleSize val="0"/>
        </c:dLbls>
        <c:gapWidth val="100"/>
        <c:axId val="705508351"/>
        <c:axId val="844725519"/>
      </c:barChart>
      <c:lineChart>
        <c:grouping val="standard"/>
        <c:varyColors val="0"/>
        <c:ser>
          <c:idx val="11"/>
          <c:order val="11"/>
          <c:tx>
            <c:strRef>
              <c:f>'PC3.03_Ind02'!$B$25</c:f>
              <c:strCache>
                <c:ptCount val="1"/>
                <c:pt idx="0">
                  <c:v>≥3</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9525">
                <a:solidFill>
                  <a:schemeClr val="accent6">
                    <a:lumMod val="60000"/>
                  </a:schemeClr>
                </a:solidFill>
                <a:round/>
              </a:ln>
              <a:effectLst>
                <a:outerShdw blurRad="57150" dist="19050" dir="5400000" algn="ctr" rotWithShape="0">
                  <a:schemeClr val="accent2">
                    <a:alpha val="63000"/>
                  </a:schemeClr>
                </a:outerShdw>
              </a:effectLst>
            </c:spPr>
          </c:marker>
          <c:val>
            <c:numRef>
              <c:f>'PC3.03_Ind02'!$D$27:$H$27</c:f>
              <c:numCache>
                <c:formatCode>General</c:formatCode>
                <c:ptCount val="5"/>
                <c:pt idx="0">
                  <c:v>3</c:v>
                </c:pt>
                <c:pt idx="1">
                  <c:v>3</c:v>
                </c:pt>
                <c:pt idx="2">
                  <c:v>3</c:v>
                </c:pt>
                <c:pt idx="3">
                  <c:v>3</c:v>
                </c:pt>
                <c:pt idx="4">
                  <c:v>3</c:v>
                </c:pt>
              </c:numCache>
            </c:numRef>
          </c:val>
          <c:smooth val="1"/>
          <c:extLst>
            <c:ext xmlns:c16="http://schemas.microsoft.com/office/drawing/2014/chart" uri="{C3380CC4-5D6E-409C-BE32-E72D297353CC}">
              <c16:uniqueId val="{0000000D-F52F-4D25-909C-EADBFABE95B0}"/>
            </c:ext>
          </c:extLst>
        </c:ser>
        <c:dLbls>
          <c:showLegendKey val="0"/>
          <c:showVal val="0"/>
          <c:showCatName val="0"/>
          <c:showSerName val="0"/>
          <c:showPercent val="0"/>
          <c:showBubbleSize val="0"/>
        </c:dLbls>
        <c:marker val="1"/>
        <c:smooth val="0"/>
        <c:axId val="705508351"/>
        <c:axId val="844725519"/>
      </c:lineChart>
      <c:catAx>
        <c:axId val="705508351"/>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44725519"/>
        <c:crosses val="autoZero"/>
        <c:auto val="1"/>
        <c:lblAlgn val="ctr"/>
        <c:lblOffset val="100"/>
        <c:noMultiLvlLbl val="0"/>
      </c:catAx>
      <c:valAx>
        <c:axId val="844725519"/>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705508351"/>
        <c:crosses val="autoZero"/>
        <c:crossBetween val="between"/>
      </c:valAx>
      <c:spPr>
        <a:noFill/>
        <a:ln>
          <a:noFill/>
        </a:ln>
        <a:effectLst/>
      </c:spPr>
    </c:plotArea>
    <c:legend>
      <c:legendPos val="r"/>
      <c:layout>
        <c:manualLayout>
          <c:xMode val="edge"/>
          <c:yMode val="edge"/>
          <c:x val="8.4363046345549975E-2"/>
          <c:y val="9.8712146594121891E-2"/>
          <c:w val="0.83314702509556882"/>
          <c:h val="0.14196869685366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800" b="1" i="0" baseline="0">
                <a:effectLst>
                  <a:outerShdw blurRad="50800" dist="38100" dir="5400000" algn="t" rotWithShape="0">
                    <a:srgbClr val="000000">
                      <a:alpha val="40000"/>
                    </a:srgbClr>
                  </a:outerShdw>
                </a:effectLst>
              </a:rPr>
              <a:t>PC3.03_Ind03 Percentatge d'alumnat estranger</a:t>
            </a:r>
            <a:endParaRPr lang="ca-ES">
              <a:effectLst/>
            </a:endParaRPr>
          </a:p>
        </c:rich>
      </c:tx>
      <c:layout>
        <c:manualLayout>
          <c:xMode val="edge"/>
          <c:yMode val="edge"/>
          <c:x val="0.13748622067969946"/>
          <c:y val="0"/>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'PC3.03_Ind03'!$C$13</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'PC3.03_Ind03'!$C$58:$F$58</c15:sqref>
                  </c15:fullRef>
                </c:ext>
              </c:extLst>
              <c:f>'PC3.03_Ind03'!$C$58:$F$58</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'PC3.03_Ind03'!$B$13:$I$13</c15:sqref>
                  </c15:fullRef>
                </c:ext>
              </c:extLst>
              <c:f>('PC3.03_Ind03'!$B$13:$E$13,'PC3.03_Ind03'!$H$13)</c:f>
              <c:numCache>
                <c:formatCode>General</c:formatCode>
                <c:ptCount val="5"/>
              </c:numCache>
            </c:numRef>
          </c:val>
          <c:extLst>
            <c:ext xmlns:c16="http://schemas.microsoft.com/office/drawing/2014/chart" uri="{C3380CC4-5D6E-409C-BE32-E72D297353CC}">
              <c16:uniqueId val="{00000000-4218-4A72-A964-4F3A7AC72B31}"/>
            </c:ext>
          </c:extLst>
        </c:ser>
        <c:ser>
          <c:idx val="1"/>
          <c:order val="1"/>
          <c:tx>
            <c:strRef>
              <c:f>'PC3.03_Ind03'!$B$59</c:f>
              <c:strCache>
                <c:ptCount val="1"/>
                <c:pt idx="0">
                  <c:v>Total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'PC3.03_Ind03'!$C$58:$F$58</c15:sqref>
                  </c15:fullRef>
                </c:ext>
              </c:extLst>
              <c:f>'PC3.03_Ind03'!$C$58:$F$58</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'PC3.03_Ind03'!$C$59:$F$59</c15:sqref>
                  </c15:fullRef>
                </c:ext>
              </c:extLst>
              <c:f>'PC3.03_Ind03'!$C$59:$F$59</c:f>
              <c:numCache>
                <c:formatCode>General</c:formatCode>
                <c:ptCount val="4"/>
                <c:pt idx="0">
                  <c:v>2.66</c:v>
                </c:pt>
                <c:pt idx="1">
                  <c:v>2.7</c:v>
                </c:pt>
                <c:pt idx="2">
                  <c:v>2.77</c:v>
                </c:pt>
                <c:pt idx="3">
                  <c:v>2.82</c:v>
                </c:pt>
              </c:numCache>
            </c:numRef>
          </c:val>
          <c:extLst>
            <c:ext xmlns:c16="http://schemas.microsoft.com/office/drawing/2014/chart" uri="{C3380CC4-5D6E-409C-BE32-E72D297353CC}">
              <c16:uniqueId val="{00000003-4218-4A72-A964-4F3A7AC72B31}"/>
            </c:ext>
          </c:extLst>
        </c:ser>
        <c:dLbls>
          <c:showLegendKey val="0"/>
          <c:showVal val="0"/>
          <c:showCatName val="0"/>
          <c:showSerName val="0"/>
          <c:showPercent val="0"/>
          <c:showBubbleSize val="0"/>
        </c:dLbls>
        <c:gapWidth val="150"/>
        <c:axId val="705518559"/>
        <c:axId val="1358653519"/>
      </c:barChart>
      <c:lineChart>
        <c:grouping val="stacked"/>
        <c:varyColors val="0"/>
        <c:ser>
          <c:idx val="2"/>
          <c:order val="2"/>
          <c:tx>
            <c:strRef>
              <c:f>'PC3.03_Ind03'!$B$60</c:f>
              <c:strCache>
                <c:ptCount val="1"/>
                <c:pt idx="0">
                  <c:v>objectiu</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'PC3.03_Ind03'!$C$58:$F$58</c15:sqref>
                  </c15:fullRef>
                </c:ext>
              </c:extLst>
              <c:f>'PC3.03_Ind03'!$C$58:$F$58</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'PC3.03_Ind03'!$C$60:$F$60</c15:sqref>
                  </c15:fullRef>
                </c:ext>
              </c:extLst>
              <c:f>'PC3.03_Ind03'!$C$60:$F$60</c:f>
              <c:numCache>
                <c:formatCode>General</c:formatCode>
                <c:ptCount val="4"/>
                <c:pt idx="0">
                  <c:v>10</c:v>
                </c:pt>
                <c:pt idx="1">
                  <c:v>10</c:v>
                </c:pt>
                <c:pt idx="2">
                  <c:v>10</c:v>
                </c:pt>
                <c:pt idx="3">
                  <c:v>10</c:v>
                </c:pt>
              </c:numCache>
            </c:numRef>
          </c:val>
          <c:smooth val="0"/>
          <c:extLst>
            <c:ext xmlns:c16="http://schemas.microsoft.com/office/drawing/2014/chart" uri="{C3380CC4-5D6E-409C-BE32-E72D297353CC}">
              <c16:uniqueId val="{00000004-4218-4A72-A964-4F3A7AC72B31}"/>
            </c:ext>
          </c:extLst>
        </c:ser>
        <c:dLbls>
          <c:showLegendKey val="0"/>
          <c:showVal val="0"/>
          <c:showCatName val="0"/>
          <c:showSerName val="0"/>
          <c:showPercent val="0"/>
          <c:showBubbleSize val="0"/>
        </c:dLbls>
        <c:marker val="1"/>
        <c:smooth val="0"/>
        <c:axId val="705518559"/>
        <c:axId val="1358653519"/>
      </c:lineChart>
      <c:catAx>
        <c:axId val="705518559"/>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8653519"/>
        <c:crosses val="autoZero"/>
        <c:auto val="1"/>
        <c:lblAlgn val="ctr"/>
        <c:lblOffset val="100"/>
        <c:noMultiLvlLbl val="0"/>
      </c:catAx>
      <c:valAx>
        <c:axId val="1358653519"/>
        <c:scaling>
          <c:orientation val="minMax"/>
          <c:max val="1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705518559"/>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'PC3.03_Ind04-V1'!$C$27</c:f>
              <c:strCache>
                <c:ptCount val="1"/>
              </c:strCache>
            </c:strRef>
          </c:tx>
          <c:spPr>
            <a:solidFill>
              <a:schemeClr val="accent1"/>
            </a:solidFill>
            <a:ln>
              <a:noFill/>
            </a:ln>
            <a:effectLst/>
          </c:spPr>
          <c:invertIfNegative val="0"/>
          <c:cat>
            <c:strRef>
              <c:f>'PC3.03_Ind04-V1'!$D$27:$G$27</c:f>
              <c:strCache>
                <c:ptCount val="4"/>
                <c:pt idx="0">
                  <c:v>2020/2021</c:v>
                </c:pt>
                <c:pt idx="1">
                  <c:v>2021/2022</c:v>
                </c:pt>
                <c:pt idx="2">
                  <c:v>2022/2023</c:v>
                </c:pt>
                <c:pt idx="3">
                  <c:v>2023/2024</c:v>
                </c:pt>
              </c:strCache>
            </c:strRef>
          </c:cat>
          <c:val>
            <c:numRef>
              <c:f>'PC3.03_Ind04-V1'!$D$27:$G$27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C7B6-4A88-9E8B-5858B14D44BE}"/>
            </c:ext>
          </c:extLst>
        </c:ser>
        <c:ser>
          <c:idx val="1"/>
          <c:order val="1"/>
          <c:tx>
            <c:strRef>
              <c:f>'PC3.03_Ind04-V1'!$C$29</c:f>
              <c:strCache>
                <c:ptCount val="1"/>
                <c:pt idx="0">
                  <c:v>Total</c:v>
                </c:pt>
              </c:strCache>
            </c:strRef>
          </c:tx>
          <c:spPr>
            <a:solidFill>
              <a:schemeClr val="accent2"/>
            </a:solidFill>
            <a:ln>
              <a:noFill/>
            </a:ln>
            <a:effectLst/>
          </c:spPr>
          <c:invertIfNegative val="0"/>
          <c:cat>
            <c:strRef>
              <c:f>'PC3.03_Ind04-V1'!$D$27:$G$27</c:f>
              <c:strCache>
                <c:ptCount val="4"/>
                <c:pt idx="0">
                  <c:v>2020/2021</c:v>
                </c:pt>
                <c:pt idx="1">
                  <c:v>2021/2022</c:v>
                </c:pt>
                <c:pt idx="2">
                  <c:v>2022/2023</c:v>
                </c:pt>
                <c:pt idx="3">
                  <c:v>2023/2024</c:v>
                </c:pt>
              </c:strCache>
            </c:strRef>
          </c:cat>
          <c:val>
            <c:numRef>
              <c:f>'PC3.03_Ind04-V1'!$D$29:$G$29</c:f>
              <c:numCache>
                <c:formatCode>General</c:formatCode>
                <c:ptCount val="4"/>
                <c:pt idx="0">
                  <c:v>0.99</c:v>
                </c:pt>
                <c:pt idx="1">
                  <c:v>2.1800000000000002</c:v>
                </c:pt>
                <c:pt idx="2">
                  <c:v>2.17</c:v>
                </c:pt>
                <c:pt idx="3">
                  <c:v>2.58</c:v>
                </c:pt>
              </c:numCache>
            </c:numRef>
          </c:val>
          <c:extLst>
            <c:ext xmlns:c16="http://schemas.microsoft.com/office/drawing/2014/chart" uri="{C3380CC4-5D6E-409C-BE32-E72D297353CC}">
              <c16:uniqueId val="{00000002-C7B6-4A88-9E8B-5858B14D44BE}"/>
            </c:ext>
          </c:extLst>
        </c:ser>
        <c:dLbls>
          <c:showLegendKey val="0"/>
          <c:showVal val="0"/>
          <c:showCatName val="0"/>
          <c:showSerName val="0"/>
          <c:showPercent val="0"/>
          <c:showBubbleSize val="0"/>
        </c:dLbls>
        <c:gapWidth val="219"/>
        <c:axId val="917570848"/>
        <c:axId val="917571808"/>
      </c:barChart>
      <c:lineChart>
        <c:grouping val="standard"/>
        <c:varyColors val="0"/>
        <c:ser>
          <c:idx val="2"/>
          <c:order val="2"/>
          <c:tx>
            <c:strRef>
              <c:f>'PC3.03_Ind04-V1'!$C$30</c:f>
              <c:strCache>
                <c:ptCount val="1"/>
                <c:pt idx="0">
                  <c:v>Objectiu</c:v>
                </c:pt>
              </c:strCache>
            </c:strRef>
          </c:tx>
          <c:spPr>
            <a:ln w="28575" cap="rnd">
              <a:solidFill>
                <a:schemeClr val="accent3"/>
              </a:solidFill>
              <a:round/>
            </a:ln>
            <a:effectLst/>
          </c:spPr>
          <c:marker>
            <c:symbol val="none"/>
          </c:marker>
          <c:cat>
            <c:strRef>
              <c:f>'PC3.03_Ind04-V1'!$D$27:$G$27</c:f>
              <c:strCache>
                <c:ptCount val="4"/>
                <c:pt idx="0">
                  <c:v>2020/2021</c:v>
                </c:pt>
                <c:pt idx="1">
                  <c:v>2021/2022</c:v>
                </c:pt>
                <c:pt idx="2">
                  <c:v>2022/2023</c:v>
                </c:pt>
                <c:pt idx="3">
                  <c:v>2023/2024</c:v>
                </c:pt>
              </c:strCache>
            </c:strRef>
          </c:cat>
          <c:val>
            <c:numRef>
              <c:f>'PC3.03_Ind04-V1'!$D$30:$G$30</c:f>
              <c:numCache>
                <c:formatCode>General</c:formatCode>
                <c:ptCount val="4"/>
                <c:pt idx="0">
                  <c:v>3</c:v>
                </c:pt>
                <c:pt idx="1">
                  <c:v>3</c:v>
                </c:pt>
                <c:pt idx="2">
                  <c:v>3</c:v>
                </c:pt>
                <c:pt idx="3">
                  <c:v>3</c:v>
                </c:pt>
              </c:numCache>
            </c:numRef>
          </c:val>
          <c:smooth val="0"/>
          <c:extLst>
            <c:ext xmlns:c16="http://schemas.microsoft.com/office/drawing/2014/chart" uri="{C3380CC4-5D6E-409C-BE32-E72D297353CC}">
              <c16:uniqueId val="{00000003-C7B6-4A88-9E8B-5858B14D44BE}"/>
            </c:ext>
          </c:extLst>
        </c:ser>
        <c:dLbls>
          <c:showLegendKey val="0"/>
          <c:showVal val="0"/>
          <c:showCatName val="0"/>
          <c:showSerName val="0"/>
          <c:showPercent val="0"/>
          <c:showBubbleSize val="0"/>
        </c:dLbls>
        <c:marker val="1"/>
        <c:smooth val="0"/>
        <c:axId val="917570848"/>
        <c:axId val="917571808"/>
      </c:lineChart>
      <c:catAx>
        <c:axId val="91757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917571808"/>
        <c:crosses val="autoZero"/>
        <c:auto val="1"/>
        <c:lblAlgn val="ctr"/>
        <c:lblOffset val="100"/>
        <c:noMultiLvlLbl val="0"/>
      </c:catAx>
      <c:valAx>
        <c:axId val="917571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917570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200" b="1" i="0" u="none" strike="noStrike" baseline="0">
                <a:effectLst>
                  <a:outerShdw blurRad="50800" dist="38100" dir="5400000" algn="t" rotWithShape="0">
                    <a:prstClr val="black">
                      <a:alpha val="40000"/>
                    </a:prstClr>
                  </a:outerShdw>
                </a:effectLst>
              </a:rPr>
              <a:t>PE1.01_Ind04. Percentatge d'assistència, del degà, a les sessions de les Comissions del Rectorat (Pla Estratègic 2022/2023 fins 2024/2025)</a:t>
            </a:r>
            <a:endParaRPr lang="ca-ES" sz="1050"/>
          </a:p>
        </c:rich>
      </c:tx>
      <c:overlay val="0"/>
      <c:spPr>
        <a:noFill/>
        <a:ln>
          <a:noFill/>
        </a:ln>
        <a:effectLst/>
      </c:spPr>
      <c:txPr>
        <a:bodyPr rot="0" spcFirstLastPara="1" vertOverflow="ellipsis" vert="horz" wrap="square" anchor="ctr" anchorCtr="1"/>
        <a:lstStyle/>
        <a:p>
          <a:pPr algn="ct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'PE1.01_Ind04 '!$B$14:$C$14</c:f>
              <c:strCache>
                <c:ptCount val="2"/>
                <c:pt idx="0">
                  <c:v>Valor real</c:v>
                </c:pt>
              </c:strCache>
            </c:strRef>
          </c:tx>
          <c:spPr>
            <a:solidFill>
              <a:schemeClr val="accent1"/>
            </a:solidFill>
            <a:ln>
              <a:noFill/>
            </a:ln>
            <a:effectLst>
              <a:outerShdw blurRad="57150" dist="19050" dir="5400000" algn="ctr" rotWithShape="0">
                <a:srgbClr val="000000">
                  <a:alpha val="63000"/>
                </a:srgbClr>
              </a:outerShdw>
            </a:effectLst>
          </c:spPr>
          <c:invertIfNegative val="0"/>
          <c:cat>
            <c:strRef>
              <c:f>'PE1.01_Ind04 '!$D$13:$F$13</c:f>
              <c:strCache>
                <c:ptCount val="3"/>
                <c:pt idx="0">
                  <c:v>2021/2022</c:v>
                </c:pt>
                <c:pt idx="1">
                  <c:v>2022/2023</c:v>
                </c:pt>
                <c:pt idx="2">
                  <c:v>2023/2024</c:v>
                </c:pt>
              </c:strCache>
            </c:strRef>
          </c:cat>
          <c:val>
            <c:numRef>
              <c:f>'PE1.01_Ind04 '!$D$14:$F$14</c:f>
              <c:numCache>
                <c:formatCode>0%</c:formatCode>
                <c:ptCount val="3"/>
                <c:pt idx="0">
                  <c:v>0.9</c:v>
                </c:pt>
                <c:pt idx="1">
                  <c:v>0.97</c:v>
                </c:pt>
                <c:pt idx="2">
                  <c:v>0.98</c:v>
                </c:pt>
              </c:numCache>
            </c:numRef>
          </c:val>
          <c:extLst>
            <c:ext xmlns:c16="http://schemas.microsoft.com/office/drawing/2014/chart" uri="{C3380CC4-5D6E-409C-BE32-E72D297353CC}">
              <c16:uniqueId val="{00000000-DC9E-46E1-A752-FF377DD78843}"/>
            </c:ext>
          </c:extLst>
        </c:ser>
        <c:dLbls>
          <c:showLegendKey val="0"/>
          <c:showVal val="0"/>
          <c:showCatName val="0"/>
          <c:showSerName val="0"/>
          <c:showPercent val="0"/>
          <c:showBubbleSize val="0"/>
        </c:dLbls>
        <c:gapWidth val="219"/>
        <c:axId val="1499502592"/>
        <c:axId val="1289896992"/>
      </c:barChart>
      <c:lineChart>
        <c:grouping val="standard"/>
        <c:varyColors val="0"/>
        <c:ser>
          <c:idx val="1"/>
          <c:order val="1"/>
          <c:tx>
            <c:strRef>
              <c:f>'PE1.01_Ind04 '!$B$15:$C$15</c:f>
              <c:strCache>
                <c:ptCount val="2"/>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cat>
            <c:strRef>
              <c:f>'PE1.01_Ind04 '!$D$13:$F$13</c:f>
              <c:strCache>
                <c:ptCount val="3"/>
                <c:pt idx="0">
                  <c:v>2021/2022</c:v>
                </c:pt>
                <c:pt idx="1">
                  <c:v>2022/2023</c:v>
                </c:pt>
                <c:pt idx="2">
                  <c:v>2023/2024</c:v>
                </c:pt>
              </c:strCache>
            </c:strRef>
          </c:cat>
          <c:val>
            <c:numRef>
              <c:f>'PE1.01_Ind04 '!$D$15:$F$15</c:f>
              <c:numCache>
                <c:formatCode>0%</c:formatCode>
                <c:ptCount val="3"/>
                <c:pt idx="0">
                  <c:v>0.9</c:v>
                </c:pt>
                <c:pt idx="1">
                  <c:v>0.9</c:v>
                </c:pt>
                <c:pt idx="2">
                  <c:v>0.9</c:v>
                </c:pt>
              </c:numCache>
            </c:numRef>
          </c:val>
          <c:smooth val="0"/>
          <c:extLst>
            <c:ext xmlns:c16="http://schemas.microsoft.com/office/drawing/2014/chart" uri="{C3380CC4-5D6E-409C-BE32-E72D297353CC}">
              <c16:uniqueId val="{00000001-DC9E-46E1-A752-FF377DD78843}"/>
            </c:ext>
          </c:extLst>
        </c:ser>
        <c:dLbls>
          <c:showLegendKey val="0"/>
          <c:showVal val="0"/>
          <c:showCatName val="0"/>
          <c:showSerName val="0"/>
          <c:showPercent val="0"/>
          <c:showBubbleSize val="0"/>
        </c:dLbls>
        <c:marker val="1"/>
        <c:smooth val="0"/>
        <c:axId val="1499502592"/>
        <c:axId val="1289896992"/>
      </c:lineChart>
      <c:catAx>
        <c:axId val="1499502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89896992"/>
        <c:crosses val="autoZero"/>
        <c:auto val="1"/>
        <c:lblAlgn val="ctr"/>
        <c:lblOffset val="100"/>
        <c:noMultiLvlLbl val="0"/>
      </c:catAx>
      <c:valAx>
        <c:axId val="128989699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9950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'PC3.03_Ind05-V1'!$B$33</c:f>
              <c:strCache>
                <c:ptCount val="1"/>
                <c:pt idx="0">
                  <c:v>Curs acadèmic</c:v>
                </c:pt>
              </c:strCache>
            </c:strRef>
          </c:tx>
          <c:spPr>
            <a:solidFill>
              <a:schemeClr val="accent1"/>
            </a:solidFill>
            <a:ln>
              <a:noFill/>
            </a:ln>
            <a:effectLst/>
          </c:spPr>
          <c:invertIfNegative val="0"/>
          <c:cat>
            <c:strRef>
              <c:f>'PC3.03_Ind05-V1'!$C$33:$F$33</c:f>
              <c:strCache>
                <c:ptCount val="4"/>
                <c:pt idx="0">
                  <c:v>2020/201</c:v>
                </c:pt>
                <c:pt idx="1">
                  <c:v>2021/2022</c:v>
                </c:pt>
                <c:pt idx="2">
                  <c:v>2022/2023</c:v>
                </c:pt>
                <c:pt idx="3">
                  <c:v>2023/2024</c:v>
                </c:pt>
              </c:strCache>
            </c:strRef>
          </c:cat>
          <c:val>
            <c:numRef>
              <c:f>'PC3.03_Ind05-V1'!$C$33:$F$33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B24-4350-9829-E9B3CB426236}"/>
            </c:ext>
          </c:extLst>
        </c:ser>
        <c:ser>
          <c:idx val="1"/>
          <c:order val="1"/>
          <c:tx>
            <c:strRef>
              <c:f>'PC3.03_Ind05-V1'!$B$34</c:f>
              <c:strCache>
                <c:ptCount val="1"/>
                <c:pt idx="0">
                  <c:v>Total</c:v>
                </c:pt>
              </c:strCache>
            </c:strRef>
          </c:tx>
          <c:spPr>
            <a:solidFill>
              <a:schemeClr val="accent2"/>
            </a:solidFill>
            <a:ln>
              <a:noFill/>
            </a:ln>
            <a:effectLst/>
          </c:spPr>
          <c:invertIfNegative val="0"/>
          <c:cat>
            <c:strRef>
              <c:f>'PC3.03_Ind05-V1'!$C$33:$F$33</c:f>
              <c:strCache>
                <c:ptCount val="4"/>
                <c:pt idx="0">
                  <c:v>2020/201</c:v>
                </c:pt>
                <c:pt idx="1">
                  <c:v>2021/2022</c:v>
                </c:pt>
                <c:pt idx="2">
                  <c:v>2022/2023</c:v>
                </c:pt>
                <c:pt idx="3">
                  <c:v>2023/2024</c:v>
                </c:pt>
              </c:strCache>
            </c:strRef>
          </c:cat>
          <c:val>
            <c:numRef>
              <c:f>'PC3.03_Ind05-V1'!$C$34:$F$34</c:f>
              <c:numCache>
                <c:formatCode>General</c:formatCode>
                <c:ptCount val="4"/>
                <c:pt idx="0">
                  <c:v>1.78</c:v>
                </c:pt>
                <c:pt idx="1">
                  <c:v>4.3899999999999997</c:v>
                </c:pt>
                <c:pt idx="2">
                  <c:v>4.7699999999999996</c:v>
                </c:pt>
                <c:pt idx="3">
                  <c:v>4.46</c:v>
                </c:pt>
              </c:numCache>
            </c:numRef>
          </c:val>
          <c:extLst>
            <c:ext xmlns:c16="http://schemas.microsoft.com/office/drawing/2014/chart" uri="{C3380CC4-5D6E-409C-BE32-E72D297353CC}">
              <c16:uniqueId val="{00000001-3B24-4350-9829-E9B3CB426236}"/>
            </c:ext>
          </c:extLst>
        </c:ser>
        <c:dLbls>
          <c:showLegendKey val="0"/>
          <c:showVal val="0"/>
          <c:showCatName val="0"/>
          <c:showSerName val="0"/>
          <c:showPercent val="0"/>
          <c:showBubbleSize val="0"/>
        </c:dLbls>
        <c:gapWidth val="219"/>
        <c:axId val="663955952"/>
        <c:axId val="663940592"/>
      </c:barChart>
      <c:lineChart>
        <c:grouping val="standard"/>
        <c:varyColors val="0"/>
        <c:ser>
          <c:idx val="2"/>
          <c:order val="2"/>
          <c:tx>
            <c:strRef>
              <c:f>'PC3.03_Ind05-V1'!$B$35</c:f>
              <c:strCache>
                <c:ptCount val="1"/>
                <c:pt idx="0">
                  <c:v>Objectiu</c:v>
                </c:pt>
              </c:strCache>
            </c:strRef>
          </c:tx>
          <c:spPr>
            <a:ln w="28575" cap="rnd">
              <a:solidFill>
                <a:schemeClr val="accent3"/>
              </a:solidFill>
              <a:round/>
            </a:ln>
            <a:effectLst/>
          </c:spPr>
          <c:marker>
            <c:symbol val="none"/>
          </c:marker>
          <c:cat>
            <c:strRef>
              <c:f>'PC3.03_Ind05-V1'!$C$33:$F$33</c:f>
              <c:strCache>
                <c:ptCount val="4"/>
                <c:pt idx="0">
                  <c:v>2020/201</c:v>
                </c:pt>
                <c:pt idx="1">
                  <c:v>2021/2022</c:v>
                </c:pt>
                <c:pt idx="2">
                  <c:v>2022/2023</c:v>
                </c:pt>
                <c:pt idx="3">
                  <c:v>2023/2024</c:v>
                </c:pt>
              </c:strCache>
            </c:strRef>
          </c:cat>
          <c:val>
            <c:numRef>
              <c:f>'PC3.03_Ind05-V1'!$C$35:$F$35</c:f>
              <c:numCache>
                <c:formatCode>General</c:formatCode>
                <c:ptCount val="4"/>
                <c:pt idx="0">
                  <c:v>6</c:v>
                </c:pt>
                <c:pt idx="1">
                  <c:v>6</c:v>
                </c:pt>
                <c:pt idx="2">
                  <c:v>6</c:v>
                </c:pt>
                <c:pt idx="3">
                  <c:v>6</c:v>
                </c:pt>
              </c:numCache>
            </c:numRef>
          </c:val>
          <c:smooth val="0"/>
          <c:extLst>
            <c:ext xmlns:c16="http://schemas.microsoft.com/office/drawing/2014/chart" uri="{C3380CC4-5D6E-409C-BE32-E72D297353CC}">
              <c16:uniqueId val="{00000002-3B24-4350-9829-E9B3CB426236}"/>
            </c:ext>
          </c:extLst>
        </c:ser>
        <c:dLbls>
          <c:showLegendKey val="0"/>
          <c:showVal val="0"/>
          <c:showCatName val="0"/>
          <c:showSerName val="0"/>
          <c:showPercent val="0"/>
          <c:showBubbleSize val="0"/>
        </c:dLbls>
        <c:marker val="1"/>
        <c:smooth val="0"/>
        <c:axId val="663955952"/>
        <c:axId val="663940592"/>
      </c:lineChart>
      <c:catAx>
        <c:axId val="66395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663940592"/>
        <c:crosses val="autoZero"/>
        <c:auto val="1"/>
        <c:lblAlgn val="ctr"/>
        <c:lblOffset val="100"/>
        <c:noMultiLvlLbl val="0"/>
      </c:catAx>
      <c:valAx>
        <c:axId val="663940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663955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PC3.04_Ind01. Taxa de rendiment per curs acadèmic i titulació</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'PC3.04_Ind01'!$B$38</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'PC3.04_Ind01'!$C$38:$E$38</c:f>
              <c:numCache>
                <c:formatCode>General</c:formatCode>
                <c:ptCount val="3"/>
              </c:numCache>
            </c:numRef>
          </c:val>
          <c:extLst>
            <c:ext xmlns:c16="http://schemas.microsoft.com/office/drawing/2014/chart" uri="{C3380CC4-5D6E-409C-BE32-E72D297353CC}">
              <c16:uniqueId val="{00000000-A8EE-4E72-8FD7-708A0ECBF79C}"/>
            </c:ext>
          </c:extLst>
        </c:ser>
        <c:ser>
          <c:idx val="1"/>
          <c:order val="1"/>
          <c:tx>
            <c:strRef>
              <c:f>'PC3.04_Ind01'!$C$14</c:f>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'PC3.04_Ind01'!$D$14:$H$14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A8EE-4E72-8FD7-708A0ECBF79C}"/>
            </c:ext>
          </c:extLst>
        </c:ser>
        <c:ser>
          <c:idx val="2"/>
          <c:order val="2"/>
          <c:tx>
            <c:strRef>
              <c:f>'PC3.04_Ind01'!$B$15</c:f>
              <c:strCache>
                <c:ptCount val="1"/>
                <c:pt idx="0">
                  <c:v>Ciències Ambientals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'PC3.04_Ind01'!$G$15:$J$15</c:f>
              <c:numCache>
                <c:formatCode>0.00%</c:formatCode>
                <c:ptCount val="4"/>
                <c:pt idx="0">
                  <c:v>0.89</c:v>
                </c:pt>
                <c:pt idx="1">
                  <c:v>0.87880000000000003</c:v>
                </c:pt>
                <c:pt idx="2">
                  <c:v>0.90600000000000003</c:v>
                </c:pt>
                <c:pt idx="3">
                  <c:v>0.90500000000000003</c:v>
                </c:pt>
              </c:numCache>
            </c:numRef>
          </c:val>
          <c:extLst>
            <c:ext xmlns:c16="http://schemas.microsoft.com/office/drawing/2014/chart" uri="{C3380CC4-5D6E-409C-BE32-E72D297353CC}">
              <c16:uniqueId val="{00000002-A8EE-4E72-8FD7-708A0ECBF79C}"/>
            </c:ext>
          </c:extLst>
        </c:ser>
        <c:ser>
          <c:idx val="3"/>
          <c:order val="3"/>
          <c:tx>
            <c:strRef>
              <c:f>'PC3.04_Ind01'!$B$16</c:f>
              <c:strCache>
                <c:ptCount val="1"/>
                <c:pt idx="0">
                  <c:v>Ciències Ambientals i Geologia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'PC3.04_Ind01'!$G$16:$J$16</c:f>
              <c:numCache>
                <c:formatCode>0.00%</c:formatCode>
                <c:ptCount val="4"/>
                <c:pt idx="0">
                  <c:v>0.92</c:v>
                </c:pt>
                <c:pt idx="1">
                  <c:v>0.91500000000000004</c:v>
                </c:pt>
                <c:pt idx="2">
                  <c:v>0.9</c:v>
                </c:pt>
                <c:pt idx="3">
                  <c:v>0.9</c:v>
                </c:pt>
              </c:numCache>
            </c:numRef>
          </c:val>
          <c:extLst>
            <c:ext xmlns:c16="http://schemas.microsoft.com/office/drawing/2014/chart" uri="{C3380CC4-5D6E-409C-BE32-E72D297353CC}">
              <c16:uniqueId val="{00000003-A8EE-4E72-8FD7-708A0ECBF79C}"/>
            </c:ext>
          </c:extLst>
        </c:ser>
        <c:ser>
          <c:idx val="4"/>
          <c:order val="4"/>
          <c:tx>
            <c:strRef>
              <c:f>'PC3.04_Ind01'!$B$17</c:f>
              <c:strCache>
                <c:ptCount val="1"/>
                <c:pt idx="0">
                  <c:v>Estadística Aplicada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'PC3.04_Ind01'!$G$17:$J$17</c:f>
              <c:numCache>
                <c:formatCode>0.00%</c:formatCode>
                <c:ptCount val="4"/>
                <c:pt idx="0">
                  <c:v>0.93</c:v>
                </c:pt>
                <c:pt idx="1">
                  <c:v>0.80500000000000005</c:v>
                </c:pt>
                <c:pt idx="2">
                  <c:v>0.83509999999999995</c:v>
                </c:pt>
                <c:pt idx="3">
                  <c:v>0.91500000000000004</c:v>
                </c:pt>
              </c:numCache>
            </c:numRef>
          </c:val>
          <c:extLst>
            <c:ext xmlns:c16="http://schemas.microsoft.com/office/drawing/2014/chart" uri="{C3380CC4-5D6E-409C-BE32-E72D297353CC}">
              <c16:uniqueId val="{00000004-A8EE-4E72-8FD7-708A0ECBF79C}"/>
            </c:ext>
          </c:extLst>
        </c:ser>
        <c:ser>
          <c:idx val="5"/>
          <c:order val="5"/>
          <c:tx>
            <c:strRef>
              <c:f>'PC3.04_Ind01'!$B$18</c:f>
              <c:strCache>
                <c:ptCount val="1"/>
                <c:pt idx="0">
                  <c:v>Física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'PC3.04_Ind01'!$G$18:$J$18</c:f>
              <c:numCache>
                <c:formatCode>0.00%</c:formatCode>
                <c:ptCount val="4"/>
                <c:pt idx="0">
                  <c:v>0.87</c:v>
                </c:pt>
                <c:pt idx="1">
                  <c:v>0.875</c:v>
                </c:pt>
                <c:pt idx="2">
                  <c:v>0.84499999999999997</c:v>
                </c:pt>
                <c:pt idx="3">
                  <c:v>0.86</c:v>
                </c:pt>
              </c:numCache>
            </c:numRef>
          </c:val>
          <c:extLst>
            <c:ext xmlns:c16="http://schemas.microsoft.com/office/drawing/2014/chart" uri="{C3380CC4-5D6E-409C-BE32-E72D297353CC}">
              <c16:uniqueId val="{00000005-A8EE-4E72-8FD7-708A0ECBF79C}"/>
            </c:ext>
          </c:extLst>
        </c:ser>
        <c:ser>
          <c:idx val="6"/>
          <c:order val="6"/>
          <c:tx>
            <c:strRef>
              <c:f>'PC3.04_Ind01'!$B$19</c:f>
              <c:strCache>
                <c:ptCount val="1"/>
                <c:pt idx="0">
                  <c:v>Física i Matemàtiques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'PC3.04_Ind01'!$G$19:$J$19</c:f>
              <c:numCache>
                <c:formatCode>0.00%</c:formatCode>
                <c:ptCount val="4"/>
                <c:pt idx="0">
                  <c:v>0.94</c:v>
                </c:pt>
                <c:pt idx="1">
                  <c:v>0.94</c:v>
                </c:pt>
                <c:pt idx="2">
                  <c:v>0.93</c:v>
                </c:pt>
                <c:pt idx="3">
                  <c:v>0.93</c:v>
                </c:pt>
              </c:numCache>
            </c:numRef>
          </c:val>
          <c:extLst>
            <c:ext xmlns:c16="http://schemas.microsoft.com/office/drawing/2014/chart" uri="{C3380CC4-5D6E-409C-BE32-E72D297353CC}">
              <c16:uniqueId val="{00000006-A8EE-4E72-8FD7-708A0ECBF79C}"/>
            </c:ext>
          </c:extLst>
        </c:ser>
        <c:ser>
          <c:idx val="7"/>
          <c:order val="7"/>
          <c:tx>
            <c:strRef>
              <c:f>'PC3.04_Ind01'!$B$20</c:f>
              <c:strCache>
                <c:ptCount val="1"/>
                <c:pt idx="0">
                  <c:v>Física i 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'PC3.04_Ind01'!$G$20:$J$20</c:f>
              <c:numCache>
                <c:formatCode>0.00%</c:formatCode>
                <c:ptCount val="4"/>
                <c:pt idx="0">
                  <c:v>0</c:v>
                </c:pt>
                <c:pt idx="1">
                  <c:v>0.94499999999999995</c:v>
                </c:pt>
                <c:pt idx="2">
                  <c:v>0.93</c:v>
                </c:pt>
                <c:pt idx="3">
                  <c:v>0.92</c:v>
                </c:pt>
              </c:numCache>
            </c:numRef>
          </c:val>
          <c:extLst>
            <c:ext xmlns:c16="http://schemas.microsoft.com/office/drawing/2014/chart" uri="{C3380CC4-5D6E-409C-BE32-E72D297353CC}">
              <c16:uniqueId val="{00000007-A8EE-4E72-8FD7-708A0ECBF79C}"/>
            </c:ext>
          </c:extLst>
        </c:ser>
        <c:ser>
          <c:idx val="8"/>
          <c:order val="8"/>
          <c:tx>
            <c:strRef>
              <c:f>'PC3.04_Ind01'!$B$21</c:f>
              <c:strCache>
                <c:ptCount val="1"/>
                <c:pt idx="0">
                  <c:v>Geologia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'PC3.04_Ind01'!$G$21:$J$21</c:f>
              <c:numCache>
                <c:formatCode>0.00%</c:formatCode>
                <c:ptCount val="4"/>
                <c:pt idx="0">
                  <c:v>0.67</c:v>
                </c:pt>
                <c:pt idx="1">
                  <c:v>0.87</c:v>
                </c:pt>
                <c:pt idx="2">
                  <c:v>0.67</c:v>
                </c:pt>
                <c:pt idx="3">
                  <c:v>0.78</c:v>
                </c:pt>
              </c:numCache>
            </c:numRef>
          </c:val>
          <c:extLst>
            <c:ext xmlns:c16="http://schemas.microsoft.com/office/drawing/2014/chart" uri="{C3380CC4-5D6E-409C-BE32-E72D297353CC}">
              <c16:uniqueId val="{00000008-A8EE-4E72-8FD7-708A0ECBF79C}"/>
            </c:ext>
          </c:extLst>
        </c:ser>
        <c:ser>
          <c:idx val="9"/>
          <c:order val="9"/>
          <c:tx>
            <c:strRef>
              <c:f>'PC3.04_Ind01'!$B$22</c:f>
              <c:strCache>
                <c:ptCount val="1"/>
                <c:pt idx="0">
                  <c:v>Matemàtica Computacional i Analítica de Dades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'PC3.04_Ind01'!$G$22:$J$22</c:f>
              <c:numCache>
                <c:formatCode>0.00%</c:formatCode>
                <c:ptCount val="4"/>
                <c:pt idx="0">
                  <c:v>0.88</c:v>
                </c:pt>
                <c:pt idx="1">
                  <c:v>0.89</c:v>
                </c:pt>
                <c:pt idx="2">
                  <c:v>0.89</c:v>
                </c:pt>
                <c:pt idx="3">
                  <c:v>0.93</c:v>
                </c:pt>
              </c:numCache>
            </c:numRef>
          </c:val>
          <c:extLst>
            <c:ext xmlns:c16="http://schemas.microsoft.com/office/drawing/2014/chart" uri="{C3380CC4-5D6E-409C-BE32-E72D297353CC}">
              <c16:uniqueId val="{00000009-A8EE-4E72-8FD7-708A0ECBF79C}"/>
            </c:ext>
          </c:extLst>
        </c:ser>
        <c:ser>
          <c:idx val="11"/>
          <c:order val="10"/>
          <c:tx>
            <c:strRef>
              <c:f>'PC3.04_Ind01'!$B$23</c:f>
              <c:strCache>
                <c:ptCount val="1"/>
                <c:pt idx="0">
                  <c:v>Matemàtiques</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'PC3.04_Ind01'!$G$23:$J$23</c:f>
              <c:numCache>
                <c:formatCode>0.00%</c:formatCode>
                <c:ptCount val="4"/>
                <c:pt idx="0">
                  <c:v>0.83</c:v>
                </c:pt>
                <c:pt idx="1">
                  <c:v>0.81499999999999995</c:v>
                </c:pt>
                <c:pt idx="2">
                  <c:v>0.81</c:v>
                </c:pt>
                <c:pt idx="3">
                  <c:v>0.83</c:v>
                </c:pt>
              </c:numCache>
            </c:numRef>
          </c:val>
          <c:extLst>
            <c:ext xmlns:c16="http://schemas.microsoft.com/office/drawing/2014/chart" uri="{C3380CC4-5D6E-409C-BE32-E72D297353CC}">
              <c16:uniqueId val="{0000000B-A8EE-4E72-8FD7-708A0ECBF79C}"/>
            </c:ext>
          </c:extLst>
        </c:ser>
        <c:ser>
          <c:idx val="12"/>
          <c:order val="11"/>
          <c:tx>
            <c:strRef>
              <c:f>'PC3.04_Ind01'!$B$24</c:f>
              <c:strCache>
                <c:ptCount val="1"/>
                <c:pt idx="0">
                  <c:v>Nanociència i Nanotecnologia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'PC3.04_Ind01'!$G$24:$J$24</c:f>
              <c:numCache>
                <c:formatCode>0.00%</c:formatCode>
                <c:ptCount val="4"/>
                <c:pt idx="0">
                  <c:v>0.84</c:v>
                </c:pt>
                <c:pt idx="1">
                  <c:v>0.84</c:v>
                </c:pt>
                <c:pt idx="2">
                  <c:v>0.86</c:v>
                </c:pt>
                <c:pt idx="3">
                  <c:v>0.85499999999999998</c:v>
                </c:pt>
              </c:numCache>
            </c:numRef>
          </c:val>
          <c:extLst>
            <c:ext xmlns:c16="http://schemas.microsoft.com/office/drawing/2014/chart" uri="{C3380CC4-5D6E-409C-BE32-E72D297353CC}">
              <c16:uniqueId val="{0000000C-A8EE-4E72-8FD7-708A0ECBF79C}"/>
            </c:ext>
          </c:extLst>
        </c:ser>
        <c:ser>
          <c:idx val="13"/>
          <c:order val="12"/>
          <c:tx>
            <c:strRef>
              <c:f>'PC3.04_Ind01'!$B$25</c:f>
              <c:strCache>
                <c:ptCount val="1"/>
                <c:pt idx="0">
                  <c:v>Química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'PC3.04_Ind01'!$G$25:$J$25</c:f>
              <c:numCache>
                <c:formatCode>0.00%</c:formatCode>
                <c:ptCount val="4"/>
                <c:pt idx="0">
                  <c:v>0.76</c:v>
                </c:pt>
                <c:pt idx="1">
                  <c:v>0.76</c:v>
                </c:pt>
                <c:pt idx="2">
                  <c:v>0.74</c:v>
                </c:pt>
                <c:pt idx="3">
                  <c:v>0.78</c:v>
                </c:pt>
              </c:numCache>
            </c:numRef>
          </c:val>
          <c:extLst>
            <c:ext xmlns:c16="http://schemas.microsoft.com/office/drawing/2014/chart" uri="{C3380CC4-5D6E-409C-BE32-E72D297353CC}">
              <c16:uniqueId val="{0000000D-A8EE-4E72-8FD7-708A0ECBF79C}"/>
            </c:ext>
          </c:extLst>
        </c:ser>
        <c:ser>
          <c:idx val="14"/>
          <c:order val="13"/>
          <c:tx>
            <c:strRef>
              <c:f>'PC3.04_Ind01'!$B$26</c:f>
              <c:strCache>
                <c:ptCount val="1"/>
                <c:pt idx="0">
                  <c:v>Estudis Interdisciplinaris en Sostenibilitat Ambiental, Econòmica i Social</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'PC3.04_Ind01'!$G$26:$J$26</c:f>
              <c:numCache>
                <c:formatCode>0.00%</c:formatCode>
                <c:ptCount val="4"/>
                <c:pt idx="0">
                  <c:v>0.96</c:v>
                </c:pt>
                <c:pt idx="1">
                  <c:v>0.99</c:v>
                </c:pt>
                <c:pt idx="2">
                  <c:v>0.96</c:v>
                </c:pt>
                <c:pt idx="3">
                  <c:v>0.92</c:v>
                </c:pt>
              </c:numCache>
            </c:numRef>
          </c:val>
          <c:extLst>
            <c:ext xmlns:c16="http://schemas.microsoft.com/office/drawing/2014/chart" uri="{C3380CC4-5D6E-409C-BE32-E72D297353CC}">
              <c16:uniqueId val="{0000000E-A8EE-4E72-8FD7-708A0ECBF79C}"/>
            </c:ext>
          </c:extLst>
        </c:ser>
        <c:ser>
          <c:idx val="15"/>
          <c:order val="14"/>
          <c:tx>
            <c:strRef>
              <c:f>'PC3.04_Ind01'!$B$27</c:f>
              <c:strCache>
                <c:ptCount val="1"/>
                <c:pt idx="0">
                  <c:v>Física d'Altes Energies, Astrofísica i Cosmologia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'PC3.04_Ind01'!$G$27:$J$27</c:f>
              <c:numCache>
                <c:formatCode>0.00%</c:formatCode>
                <c:ptCount val="4"/>
                <c:pt idx="0">
                  <c:v>0.9</c:v>
                </c:pt>
                <c:pt idx="1">
                  <c:v>0.93</c:v>
                </c:pt>
                <c:pt idx="2">
                  <c:v>0.94</c:v>
                </c:pt>
                <c:pt idx="3">
                  <c:v>0.84</c:v>
                </c:pt>
              </c:numCache>
            </c:numRef>
          </c:val>
          <c:extLst>
            <c:ext xmlns:c16="http://schemas.microsoft.com/office/drawing/2014/chart" uri="{C3380CC4-5D6E-409C-BE32-E72D297353CC}">
              <c16:uniqueId val="{0000000F-A8EE-4E72-8FD7-708A0ECBF79C}"/>
            </c:ext>
          </c:extLst>
        </c:ser>
        <c:ser>
          <c:idx val="16"/>
          <c:order val="15"/>
          <c:tx>
            <c:strRef>
              <c:f>'PC3.04_Ind01'!$B$28</c:f>
              <c:strCache>
                <c:ptCount val="1"/>
                <c:pt idx="0">
                  <c:v>Història de la Ciència: Ciència, Història i Societat</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'PC3.04_Ind01'!$G$28:$J$28</c:f>
              <c:numCache>
                <c:formatCode>0.00%</c:formatCode>
                <c:ptCount val="4"/>
                <c:pt idx="0">
                  <c:v>0.97</c:v>
                </c:pt>
                <c:pt idx="1">
                  <c:v>0.99</c:v>
                </c:pt>
                <c:pt idx="2">
                  <c:v>0.97</c:v>
                </c:pt>
                <c:pt idx="3">
                  <c:v>0.96</c:v>
                </c:pt>
              </c:numCache>
            </c:numRef>
          </c:val>
          <c:extLst>
            <c:ext xmlns:c16="http://schemas.microsoft.com/office/drawing/2014/chart" uri="{C3380CC4-5D6E-409C-BE32-E72D297353CC}">
              <c16:uniqueId val="{00000010-A8EE-4E72-8FD7-708A0ECBF79C}"/>
            </c:ext>
          </c:extLst>
        </c:ser>
        <c:ser>
          <c:idx val="17"/>
          <c:order val="16"/>
          <c:tx>
            <c:strRef>
              <c:f>'PC3.04_Ind01'!$B$29</c:f>
              <c:strCache>
                <c:ptCount val="1"/>
                <c:pt idx="0">
                  <c:v>Modelització per a la Ciència i l'Enginyeria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'PC3.04_Ind01'!$G$29:$J$29</c:f>
              <c:numCache>
                <c:formatCode>0.00%</c:formatCode>
                <c:ptCount val="4"/>
                <c:pt idx="0">
                  <c:v>0.94</c:v>
                </c:pt>
                <c:pt idx="1">
                  <c:v>0.94</c:v>
                </c:pt>
                <c:pt idx="2">
                  <c:v>0.97</c:v>
                </c:pt>
                <c:pt idx="3">
                  <c:v>0.97</c:v>
                </c:pt>
              </c:numCache>
            </c:numRef>
          </c:val>
          <c:extLst>
            <c:ext xmlns:c16="http://schemas.microsoft.com/office/drawing/2014/chart" uri="{C3380CC4-5D6E-409C-BE32-E72D297353CC}">
              <c16:uniqueId val="{00000011-A8EE-4E72-8FD7-708A0ECBF79C}"/>
            </c:ext>
          </c:extLst>
        </c:ser>
        <c:ser>
          <c:idx val="18"/>
          <c:order val="17"/>
          <c:tx>
            <c:strRef>
              <c:f>'PC3.04_Ind01'!$B$30</c:f>
              <c:strCache>
                <c:ptCount val="1"/>
                <c:pt idx="0">
                  <c:v>Nanociència i Nanotecnologia Avançades</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'PC3.04_Ind01'!$G$30:$J$30</c:f>
              <c:numCache>
                <c:formatCode>0.00%</c:formatCode>
                <c:ptCount val="4"/>
                <c:pt idx="0">
                  <c:v>0.86</c:v>
                </c:pt>
                <c:pt idx="1">
                  <c:v>1</c:v>
                </c:pt>
                <c:pt idx="2">
                  <c:v>1</c:v>
                </c:pt>
                <c:pt idx="3">
                  <c:v>0.98</c:v>
                </c:pt>
              </c:numCache>
            </c:numRef>
          </c:val>
          <c:extLst>
            <c:ext xmlns:c16="http://schemas.microsoft.com/office/drawing/2014/chart" uri="{C3380CC4-5D6E-409C-BE32-E72D297353CC}">
              <c16:uniqueId val="{00000012-A8EE-4E72-8FD7-708A0ECBF79C}"/>
            </c:ext>
          </c:extLst>
        </c:ser>
        <c:ser>
          <c:idx val="19"/>
          <c:order val="18"/>
          <c:tx>
            <c:strRef>
              <c:f>'PC3.04_Ind01'!$B$31</c:f>
              <c:strCache>
                <c:ptCount val="1"/>
                <c:pt idx="0">
                  <c:v>Paleobiologia i Registre Fòssil</c:v>
                </c:pt>
              </c:strCache>
            </c:strRef>
          </c:tx>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'PC3.04_Ind01'!$G$31:$J$31</c:f>
              <c:numCache>
                <c:formatCode>0.00%</c:formatCode>
                <c:ptCount val="4"/>
                <c:pt idx="0">
                  <c:v>0.96</c:v>
                </c:pt>
                <c:pt idx="1">
                  <c:v>0</c:v>
                </c:pt>
                <c:pt idx="2">
                  <c:v>1</c:v>
                </c:pt>
                <c:pt idx="3">
                  <c:v>0.93</c:v>
                </c:pt>
              </c:numCache>
            </c:numRef>
          </c:val>
          <c:extLst>
            <c:ext xmlns:c16="http://schemas.microsoft.com/office/drawing/2014/chart" uri="{C3380CC4-5D6E-409C-BE32-E72D297353CC}">
              <c16:uniqueId val="{00000013-A8EE-4E72-8FD7-708A0ECBF79C}"/>
            </c:ext>
          </c:extLst>
        </c:ser>
        <c:ser>
          <c:idx val="20"/>
          <c:order val="19"/>
          <c:tx>
            <c:strRef>
              <c:f>'PC3.04_Ind01'!$B$32</c:f>
              <c:strCache>
                <c:ptCount val="1"/>
                <c:pt idx="0">
                  <c:v> Química Industrial i Introducció a la Recerca de la Química</c:v>
                </c:pt>
              </c:strCache>
            </c:strRef>
          </c:tx>
          <c:spPr>
            <a:gradFill rotWithShape="1">
              <a:gsLst>
                <a:gs pos="0">
                  <a:schemeClr val="accent3">
                    <a:lumMod val="80000"/>
                    <a:satMod val="103000"/>
                    <a:lumMod val="102000"/>
                    <a:tint val="94000"/>
                  </a:schemeClr>
                </a:gs>
                <a:gs pos="50000">
                  <a:schemeClr val="accent3">
                    <a:lumMod val="80000"/>
                    <a:satMod val="110000"/>
                    <a:lumMod val="100000"/>
                    <a:shade val="100000"/>
                  </a:schemeClr>
                </a:gs>
                <a:gs pos="100000">
                  <a:schemeClr val="accent3">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'PC3.04_Ind01'!$G$32:$J$32</c:f>
              <c:numCache>
                <c:formatCode>0.00%</c:formatCode>
                <c:ptCount val="4"/>
                <c:pt idx="0">
                  <c:v>0.99</c:v>
                </c:pt>
                <c:pt idx="1">
                  <c:v>0.96</c:v>
                </c:pt>
                <c:pt idx="2">
                  <c:v>0.95</c:v>
                </c:pt>
                <c:pt idx="3">
                  <c:v>0.96</c:v>
                </c:pt>
              </c:numCache>
            </c:numRef>
          </c:val>
          <c:extLst>
            <c:ext xmlns:c16="http://schemas.microsoft.com/office/drawing/2014/chart" uri="{C3380CC4-5D6E-409C-BE32-E72D297353CC}">
              <c16:uniqueId val="{00000014-A8EE-4E72-8FD7-708A0ECBF79C}"/>
            </c:ext>
          </c:extLst>
        </c:ser>
        <c:dLbls>
          <c:showLegendKey val="0"/>
          <c:showVal val="0"/>
          <c:showCatName val="0"/>
          <c:showSerName val="0"/>
          <c:showPercent val="0"/>
          <c:showBubbleSize val="0"/>
        </c:dLbls>
        <c:gapWidth val="100"/>
        <c:axId val="1333134320"/>
        <c:axId val="1331875968"/>
      </c:barChart>
      <c:lineChart>
        <c:grouping val="standard"/>
        <c:varyColors val="0"/>
        <c:ser>
          <c:idx val="21"/>
          <c:order val="20"/>
          <c:tx>
            <c:strRef>
              <c:f>'PC3.04_Ind01'!$B$35</c:f>
              <c:strCache>
                <c:ptCount val="1"/>
                <c:pt idx="0">
                  <c:v>Valor objectiu</c:v>
                </c:pt>
              </c:strCache>
            </c:strRef>
          </c:tx>
          <c:spPr>
            <a:ln w="34925" cap="rnd">
              <a:solidFill>
                <a:schemeClr val="accent4">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w="9525">
                <a:solidFill>
                  <a:schemeClr val="accent4">
                    <a:lumMod val="80000"/>
                  </a:schemeClr>
                </a:solidFill>
                <a:round/>
              </a:ln>
              <a:effectLst>
                <a:outerShdw blurRad="57150" dist="19050" dir="5400000" algn="ctr" rotWithShape="0">
                  <a:srgbClr val="000000">
                    <a:alpha val="63000"/>
                  </a:srgbClr>
                </a:outerShdw>
              </a:effectLst>
            </c:spPr>
          </c:marker>
          <c:cat>
            <c:strRef>
              <c:f>'PC3.04_Ind01'!$G$14:$J$14</c:f>
              <c:strCache>
                <c:ptCount val="4"/>
                <c:pt idx="0">
                  <c:v>2020/2021</c:v>
                </c:pt>
                <c:pt idx="1">
                  <c:v>2021/2022</c:v>
                </c:pt>
                <c:pt idx="2">
                  <c:v>2022/2023</c:v>
                </c:pt>
                <c:pt idx="3">
                  <c:v>2023/2024</c:v>
                </c:pt>
              </c:strCache>
            </c:strRef>
          </c:cat>
          <c:val>
            <c:numRef>
              <c:f>'PC3.04_Ind01'!$G$35:$J$35</c:f>
              <c:numCache>
                <c:formatCode>0.00%</c:formatCode>
                <c:ptCount val="4"/>
                <c:pt idx="0">
                  <c:v>0.8</c:v>
                </c:pt>
                <c:pt idx="1">
                  <c:v>0.8</c:v>
                </c:pt>
                <c:pt idx="2">
                  <c:v>0.8</c:v>
                </c:pt>
                <c:pt idx="3">
                  <c:v>0.8</c:v>
                </c:pt>
              </c:numCache>
            </c:numRef>
          </c:val>
          <c:smooth val="0"/>
          <c:extLst>
            <c:ext xmlns:c16="http://schemas.microsoft.com/office/drawing/2014/chart" uri="{C3380CC4-5D6E-409C-BE32-E72D297353CC}">
              <c16:uniqueId val="{00000015-A8EE-4E72-8FD7-708A0ECBF79C}"/>
            </c:ext>
          </c:extLst>
        </c:ser>
        <c:dLbls>
          <c:showLegendKey val="0"/>
          <c:showVal val="0"/>
          <c:showCatName val="0"/>
          <c:showSerName val="0"/>
          <c:showPercent val="0"/>
          <c:showBubbleSize val="0"/>
        </c:dLbls>
        <c:marker val="1"/>
        <c:smooth val="0"/>
        <c:axId val="1333134320"/>
        <c:axId val="1331875968"/>
      </c:lineChart>
      <c:catAx>
        <c:axId val="13331343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31875968"/>
        <c:crosses val="autoZero"/>
        <c:auto val="1"/>
        <c:lblAlgn val="ctr"/>
        <c:lblOffset val="100"/>
        <c:noMultiLvlLbl val="0"/>
      </c:catAx>
      <c:valAx>
        <c:axId val="13318759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33134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58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900" b="1">
                <a:effectLst/>
              </a:rPr>
              <a:t>PC3.04_Ind02. Puntuació mitjana a l’afirmació “El sistema d’avaluació s’explica clarament a la Guia Docent de l’assignatura” de l’enquesta de satisfacció d’assignatura dels graus i de mòdul dels màsters</a:t>
            </a:r>
            <a:endParaRPr lang="ca-ES" sz="9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'PC3.04_Ind02 '!$B$37</c:f>
              <c:strCache>
                <c:ptCount val="1"/>
                <c:pt idx="0">
                  <c:v>9.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'!$C$37:$E$37</c:f>
              <c:numCache>
                <c:formatCode>General</c:formatCode>
                <c:ptCount val="3"/>
              </c:numCache>
            </c:numRef>
          </c:val>
          <c:extLst>
            <c:ext xmlns:c16="http://schemas.microsoft.com/office/drawing/2014/chart" uri="{C3380CC4-5D6E-409C-BE32-E72D297353CC}">
              <c16:uniqueId val="{00000000-0152-42CB-8478-8829843D50D5}"/>
            </c:ext>
          </c:extLst>
        </c:ser>
        <c:ser>
          <c:idx val="1"/>
          <c:order val="1"/>
          <c:tx>
            <c:strRef>
              <c:f>'PC3.04_Ind02 '!$B$13:$C$13</c:f>
              <c:strCache>
                <c:ptCount val="2"/>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'!$D$13:$H$13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0152-42CB-8478-8829843D50D5}"/>
            </c:ext>
          </c:extLst>
        </c:ser>
        <c:ser>
          <c:idx val="2"/>
          <c:order val="2"/>
          <c:tx>
            <c:strRef>
              <c:f>'PC3.04_Ind02 '!$B$14:$C$14</c:f>
              <c:strCache>
                <c:ptCount val="2"/>
                <c:pt idx="0">
                  <c:v>Ciències Ambientals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'!$F$14:$I$14</c:f>
              <c:numCache>
                <c:formatCode>0.00</c:formatCode>
                <c:ptCount val="4"/>
                <c:pt idx="0">
                  <c:v>3.3149999999999999</c:v>
                </c:pt>
                <c:pt idx="1">
                  <c:v>3.34</c:v>
                </c:pt>
                <c:pt idx="2">
                  <c:v>3.28</c:v>
                </c:pt>
                <c:pt idx="3">
                  <c:v>3.31</c:v>
                </c:pt>
              </c:numCache>
            </c:numRef>
          </c:val>
          <c:extLst>
            <c:ext xmlns:c16="http://schemas.microsoft.com/office/drawing/2014/chart" uri="{C3380CC4-5D6E-409C-BE32-E72D297353CC}">
              <c16:uniqueId val="{00000002-0152-42CB-8478-8829843D50D5}"/>
            </c:ext>
          </c:extLst>
        </c:ser>
        <c:ser>
          <c:idx val="3"/>
          <c:order val="3"/>
          <c:tx>
            <c:strRef>
              <c:f>'PC3.04_Ind02 '!$B$15:$C$15</c:f>
              <c:strCache>
                <c:ptCount val="2"/>
                <c:pt idx="0">
                  <c:v>Ciències Ambientals + Geologia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'!$F$15:$I$15</c:f>
              <c:numCache>
                <c:formatCode>0.00</c:formatCode>
                <c:ptCount val="4"/>
                <c:pt idx="0">
                  <c:v>0</c:v>
                </c:pt>
                <c:pt idx="1">
                  <c:v>0</c:v>
                </c:pt>
                <c:pt idx="2">
                  <c:v>0</c:v>
                </c:pt>
                <c:pt idx="3">
                  <c:v>3.31</c:v>
                </c:pt>
              </c:numCache>
            </c:numRef>
          </c:val>
          <c:extLst>
            <c:ext xmlns:c16="http://schemas.microsoft.com/office/drawing/2014/chart" uri="{C3380CC4-5D6E-409C-BE32-E72D297353CC}">
              <c16:uniqueId val="{00000003-0152-42CB-8478-8829843D50D5}"/>
            </c:ext>
          </c:extLst>
        </c:ser>
        <c:ser>
          <c:idx val="4"/>
          <c:order val="4"/>
          <c:tx>
            <c:strRef>
              <c:f>'PC3.04_Ind02 '!$B$16:$C$16</c:f>
              <c:strCache>
                <c:ptCount val="2"/>
                <c:pt idx="0">
                  <c:v>Estadística Aplicada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'!$F$16:$I$16</c:f>
              <c:numCache>
                <c:formatCode>0.00</c:formatCode>
                <c:ptCount val="4"/>
                <c:pt idx="0">
                  <c:v>2.86</c:v>
                </c:pt>
                <c:pt idx="1">
                  <c:v>3.53</c:v>
                </c:pt>
                <c:pt idx="2">
                  <c:v>3.43</c:v>
                </c:pt>
                <c:pt idx="3">
                  <c:v>3.26</c:v>
                </c:pt>
              </c:numCache>
            </c:numRef>
          </c:val>
          <c:extLst>
            <c:ext xmlns:c16="http://schemas.microsoft.com/office/drawing/2014/chart" uri="{C3380CC4-5D6E-409C-BE32-E72D297353CC}">
              <c16:uniqueId val="{00000004-0152-42CB-8478-8829843D50D5}"/>
            </c:ext>
          </c:extLst>
        </c:ser>
        <c:ser>
          <c:idx val="5"/>
          <c:order val="5"/>
          <c:tx>
            <c:strRef>
              <c:f>'PC3.04_Ind02 '!$B$17:$C$17</c:f>
              <c:strCache>
                <c:ptCount val="2"/>
                <c:pt idx="0">
                  <c:v>Física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'!$F$17:$I$17</c:f>
              <c:numCache>
                <c:formatCode>0.00</c:formatCode>
                <c:ptCount val="4"/>
                <c:pt idx="0">
                  <c:v>3.42</c:v>
                </c:pt>
                <c:pt idx="1">
                  <c:v>3.58</c:v>
                </c:pt>
                <c:pt idx="2">
                  <c:v>3.55</c:v>
                </c:pt>
                <c:pt idx="3">
                  <c:v>3.41</c:v>
                </c:pt>
              </c:numCache>
            </c:numRef>
          </c:val>
          <c:extLst>
            <c:ext xmlns:c16="http://schemas.microsoft.com/office/drawing/2014/chart" uri="{C3380CC4-5D6E-409C-BE32-E72D297353CC}">
              <c16:uniqueId val="{00000006-0152-42CB-8478-8829843D50D5}"/>
            </c:ext>
          </c:extLst>
        </c:ser>
        <c:ser>
          <c:idx val="6"/>
          <c:order val="6"/>
          <c:tx>
            <c:strRef>
              <c:f>'PC3.04_Ind02 '!$B$18:$C$18</c:f>
              <c:strCache>
                <c:ptCount val="2"/>
                <c:pt idx="0">
                  <c:v>Física + Matemàtiques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'!$F$18:$I$18</c:f>
              <c:numCache>
                <c:formatCode>0.00</c:formatCode>
                <c:ptCount val="4"/>
                <c:pt idx="0">
                  <c:v>3.48</c:v>
                </c:pt>
                <c:pt idx="1">
                  <c:v>3.67</c:v>
                </c:pt>
                <c:pt idx="2">
                  <c:v>3.57</c:v>
                </c:pt>
                <c:pt idx="3">
                  <c:v>3.56</c:v>
                </c:pt>
              </c:numCache>
            </c:numRef>
          </c:val>
          <c:extLst>
            <c:ext xmlns:c16="http://schemas.microsoft.com/office/drawing/2014/chart" uri="{C3380CC4-5D6E-409C-BE32-E72D297353CC}">
              <c16:uniqueId val="{00000007-0152-42CB-8478-8829843D50D5}"/>
            </c:ext>
          </c:extLst>
        </c:ser>
        <c:ser>
          <c:idx val="7"/>
          <c:order val="7"/>
          <c:tx>
            <c:strRef>
              <c:f>'PC3.04_Ind02 '!$B$19:$C$19</c:f>
              <c:strCache>
                <c:ptCount val="2"/>
                <c:pt idx="0">
                  <c:v>Física + 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'!$F$19:$I$19</c:f>
              <c:numCache>
                <c:formatCode>0.00</c:formatCode>
                <c:ptCount val="4"/>
                <c:pt idx="0">
                  <c:v>3.395</c:v>
                </c:pt>
                <c:pt idx="1">
                  <c:v>3.33</c:v>
                </c:pt>
                <c:pt idx="2">
                  <c:v>3.57</c:v>
                </c:pt>
                <c:pt idx="3">
                  <c:v>3.536</c:v>
                </c:pt>
              </c:numCache>
            </c:numRef>
          </c:val>
          <c:extLst>
            <c:ext xmlns:c16="http://schemas.microsoft.com/office/drawing/2014/chart" uri="{C3380CC4-5D6E-409C-BE32-E72D297353CC}">
              <c16:uniqueId val="{00000008-0152-42CB-8478-8829843D50D5}"/>
            </c:ext>
          </c:extLst>
        </c:ser>
        <c:ser>
          <c:idx val="8"/>
          <c:order val="8"/>
          <c:tx>
            <c:strRef>
              <c:f>'PC3.04_Ind02 '!$B$20:$C$20</c:f>
              <c:strCache>
                <c:ptCount val="2"/>
                <c:pt idx="0">
                  <c:v>Geologia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'!$F$20:$I$20</c:f>
              <c:numCache>
                <c:formatCode>0.00</c:formatCode>
                <c:ptCount val="4"/>
                <c:pt idx="0">
                  <c:v>3.1799999999999997</c:v>
                </c:pt>
                <c:pt idx="1">
                  <c:v>3.35</c:v>
                </c:pt>
                <c:pt idx="2">
                  <c:v>3.17</c:v>
                </c:pt>
                <c:pt idx="3">
                  <c:v>3.22</c:v>
                </c:pt>
              </c:numCache>
            </c:numRef>
          </c:val>
          <c:extLst>
            <c:ext xmlns:c16="http://schemas.microsoft.com/office/drawing/2014/chart" uri="{C3380CC4-5D6E-409C-BE32-E72D297353CC}">
              <c16:uniqueId val="{00000009-0152-42CB-8478-8829843D50D5}"/>
            </c:ext>
          </c:extLst>
        </c:ser>
        <c:ser>
          <c:idx val="9"/>
          <c:order val="9"/>
          <c:tx>
            <c:strRef>
              <c:f>'PC3.04_Ind02 '!$B$21:$C$21</c:f>
              <c:strCache>
                <c:ptCount val="2"/>
                <c:pt idx="0">
                  <c:v>Matemàtica Computacional i Analítica de Dades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'!$F$21:$I$21</c:f>
              <c:numCache>
                <c:formatCode>0.00</c:formatCode>
                <c:ptCount val="4"/>
                <c:pt idx="0">
                  <c:v>3.4249999999999998</c:v>
                </c:pt>
                <c:pt idx="1">
                  <c:v>3.47</c:v>
                </c:pt>
                <c:pt idx="2">
                  <c:v>3.37</c:v>
                </c:pt>
                <c:pt idx="3">
                  <c:v>3.44</c:v>
                </c:pt>
              </c:numCache>
            </c:numRef>
          </c:val>
          <c:extLst>
            <c:ext xmlns:c16="http://schemas.microsoft.com/office/drawing/2014/chart" uri="{C3380CC4-5D6E-409C-BE32-E72D297353CC}">
              <c16:uniqueId val="{0000000A-0152-42CB-8478-8829843D50D5}"/>
            </c:ext>
          </c:extLst>
        </c:ser>
        <c:ser>
          <c:idx val="10"/>
          <c:order val="10"/>
          <c:tx>
            <c:strRef>
              <c:f>'PC3.04_Ind02 '!$B$22:$C$22</c:f>
              <c:strCache>
                <c:ptCount val="2"/>
                <c:pt idx="0">
                  <c:v>Matemàtiques</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'!$F$22:$I$22</c:f>
              <c:numCache>
                <c:formatCode>0.00</c:formatCode>
                <c:ptCount val="4"/>
                <c:pt idx="0">
                  <c:v>3.62</c:v>
                </c:pt>
                <c:pt idx="1">
                  <c:v>3.62</c:v>
                </c:pt>
                <c:pt idx="2">
                  <c:v>3.63</c:v>
                </c:pt>
                <c:pt idx="3">
                  <c:v>3.68</c:v>
                </c:pt>
              </c:numCache>
            </c:numRef>
          </c:val>
          <c:extLst>
            <c:ext xmlns:c16="http://schemas.microsoft.com/office/drawing/2014/chart" uri="{C3380CC4-5D6E-409C-BE32-E72D297353CC}">
              <c16:uniqueId val="{0000000B-0152-42CB-8478-8829843D50D5}"/>
            </c:ext>
          </c:extLst>
        </c:ser>
        <c:ser>
          <c:idx val="11"/>
          <c:order val="11"/>
          <c:tx>
            <c:strRef>
              <c:f>'PC3.04_Ind02 '!$B$23:$C$23</c:f>
              <c:strCache>
                <c:ptCount val="2"/>
                <c:pt idx="0">
                  <c:v>Nanociència i Nanotecnologia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'!$F$23:$I$23</c:f>
              <c:numCache>
                <c:formatCode>0.00</c:formatCode>
                <c:ptCount val="4"/>
                <c:pt idx="0">
                  <c:v>3.34</c:v>
                </c:pt>
                <c:pt idx="1">
                  <c:v>3.53</c:v>
                </c:pt>
                <c:pt idx="2">
                  <c:v>3.61</c:v>
                </c:pt>
                <c:pt idx="3">
                  <c:v>3.57</c:v>
                </c:pt>
              </c:numCache>
            </c:numRef>
          </c:val>
          <c:extLst>
            <c:ext xmlns:c16="http://schemas.microsoft.com/office/drawing/2014/chart" uri="{C3380CC4-5D6E-409C-BE32-E72D297353CC}">
              <c16:uniqueId val="{0000000C-0152-42CB-8478-8829843D50D5}"/>
            </c:ext>
          </c:extLst>
        </c:ser>
        <c:ser>
          <c:idx val="12"/>
          <c:order val="12"/>
          <c:tx>
            <c:strRef>
              <c:f>'PC3.04_Ind02 '!$B$24:$C$24</c:f>
              <c:strCache>
                <c:ptCount val="2"/>
                <c:pt idx="0">
                  <c:v>Química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'!$F$24:$I$24</c:f>
              <c:numCache>
                <c:formatCode>0.00</c:formatCode>
                <c:ptCount val="4"/>
                <c:pt idx="0">
                  <c:v>3.4450000000000003</c:v>
                </c:pt>
                <c:pt idx="1">
                  <c:v>3.56</c:v>
                </c:pt>
                <c:pt idx="2">
                  <c:v>3.59</c:v>
                </c:pt>
                <c:pt idx="3">
                  <c:v>3.55</c:v>
                </c:pt>
              </c:numCache>
            </c:numRef>
          </c:val>
          <c:extLst>
            <c:ext xmlns:c16="http://schemas.microsoft.com/office/drawing/2014/chart" uri="{C3380CC4-5D6E-409C-BE32-E72D297353CC}">
              <c16:uniqueId val="{0000000D-0152-42CB-8478-8829843D50D5}"/>
            </c:ext>
          </c:extLst>
        </c:ser>
        <c:ser>
          <c:idx val="14"/>
          <c:order val="14"/>
          <c:tx>
            <c:strRef>
              <c:f>'PC3.04_Ind02 '!$B$25:$C$25</c:f>
              <c:strCache>
                <c:ptCount val="2"/>
                <c:pt idx="0">
                  <c:v>Estudis Interdisciplinaris en Sostenibilitat Ambiental, Econòmica i Social</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'!$F$25:$I$25</c:f>
              <c:numCache>
                <c:formatCode>0.00</c:formatCode>
                <c:ptCount val="4"/>
                <c:pt idx="0">
                  <c:v>0</c:v>
                </c:pt>
                <c:pt idx="1">
                  <c:v>3.7</c:v>
                </c:pt>
                <c:pt idx="2">
                  <c:v>3.58</c:v>
                </c:pt>
                <c:pt idx="3">
                  <c:v>3.36</c:v>
                </c:pt>
              </c:numCache>
            </c:numRef>
          </c:val>
          <c:extLst>
            <c:ext xmlns:c16="http://schemas.microsoft.com/office/drawing/2014/chart" uri="{C3380CC4-5D6E-409C-BE32-E72D297353CC}">
              <c16:uniqueId val="{0000000F-0152-42CB-8478-8829843D50D5}"/>
            </c:ext>
          </c:extLst>
        </c:ser>
        <c:ser>
          <c:idx val="15"/>
          <c:order val="15"/>
          <c:tx>
            <c:strRef>
              <c:f>'PC3.04_Ind02 '!$B$26:$C$26</c:f>
              <c:strCache>
                <c:ptCount val="2"/>
                <c:pt idx="0">
                  <c:v>Física d'Altes Energies, Astrofísica i Cosmologia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'!$F$26:$I$26</c:f>
              <c:numCache>
                <c:formatCode>0.00</c:formatCode>
                <c:ptCount val="4"/>
                <c:pt idx="0">
                  <c:v>0</c:v>
                </c:pt>
                <c:pt idx="1">
                  <c:v>3.35</c:v>
                </c:pt>
                <c:pt idx="2">
                  <c:v>4</c:v>
                </c:pt>
                <c:pt idx="3">
                  <c:v>3.62</c:v>
                </c:pt>
              </c:numCache>
            </c:numRef>
          </c:val>
          <c:extLst>
            <c:ext xmlns:c16="http://schemas.microsoft.com/office/drawing/2014/chart" uri="{C3380CC4-5D6E-409C-BE32-E72D297353CC}">
              <c16:uniqueId val="{00000010-0152-42CB-8478-8829843D50D5}"/>
            </c:ext>
          </c:extLst>
        </c:ser>
        <c:ser>
          <c:idx val="16"/>
          <c:order val="16"/>
          <c:tx>
            <c:strRef>
              <c:f>'PC3.04_Ind02 '!$B$27:$C$27</c:f>
              <c:strCache>
                <c:ptCount val="2"/>
                <c:pt idx="0">
                  <c:v>Història de la Ciència: Ciència, Història i Societat</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'!$F$27:$I$27</c:f>
              <c:numCache>
                <c:formatCode>0.00</c:formatCode>
                <c:ptCount val="4"/>
                <c:pt idx="0">
                  <c:v>3.95</c:v>
                </c:pt>
                <c:pt idx="1">
                  <c:v>3.67</c:v>
                </c:pt>
                <c:pt idx="2">
                  <c:v>3.72</c:v>
                </c:pt>
                <c:pt idx="3">
                  <c:v>2.75</c:v>
                </c:pt>
              </c:numCache>
            </c:numRef>
          </c:val>
          <c:extLst>
            <c:ext xmlns:c16="http://schemas.microsoft.com/office/drawing/2014/chart" uri="{C3380CC4-5D6E-409C-BE32-E72D297353CC}">
              <c16:uniqueId val="{00000011-0152-42CB-8478-8829843D50D5}"/>
            </c:ext>
          </c:extLst>
        </c:ser>
        <c:ser>
          <c:idx val="18"/>
          <c:order val="17"/>
          <c:tx>
            <c:strRef>
              <c:f>'PC3.04_Ind02 '!$B$29:$C$29</c:f>
              <c:strCache>
                <c:ptCount val="2"/>
                <c:pt idx="0">
                  <c:v>Nanociència i Nanotecnologia Avançades</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'!$F$29:$I$29</c:f>
              <c:numCache>
                <c:formatCode>0.00</c:formatCode>
                <c:ptCount val="4"/>
                <c:pt idx="0">
                  <c:v>0</c:v>
                </c:pt>
                <c:pt idx="1">
                  <c:v>2.2999999999999998</c:v>
                </c:pt>
                <c:pt idx="2">
                  <c:v>3.11</c:v>
                </c:pt>
                <c:pt idx="3">
                  <c:v>3.28</c:v>
                </c:pt>
              </c:numCache>
            </c:numRef>
          </c:val>
          <c:extLst>
            <c:ext xmlns:c16="http://schemas.microsoft.com/office/drawing/2014/chart" uri="{C3380CC4-5D6E-409C-BE32-E72D297353CC}">
              <c16:uniqueId val="{00000013-0152-42CB-8478-8829843D50D5}"/>
            </c:ext>
          </c:extLst>
        </c:ser>
        <c:ser>
          <c:idx val="17"/>
          <c:order val="18"/>
          <c:tx>
            <c:strRef>
              <c:f>'PC3.04_Ind02 '!$B$30:$C$30</c:f>
              <c:strCache>
                <c:ptCount val="2"/>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'!$F$30:$I$30</c:f>
              <c:numCache>
                <c:formatCode>0.00</c:formatCode>
                <c:ptCount val="4"/>
                <c:pt idx="0">
                  <c:v>0</c:v>
                </c:pt>
                <c:pt idx="1">
                  <c:v>0</c:v>
                </c:pt>
                <c:pt idx="2">
                  <c:v>0</c:v>
                </c:pt>
                <c:pt idx="3">
                  <c:v>2.82</c:v>
                </c:pt>
              </c:numCache>
            </c:numRef>
          </c:val>
          <c:extLst>
            <c:ext xmlns:c16="http://schemas.microsoft.com/office/drawing/2014/chart" uri="{C3380CC4-5D6E-409C-BE32-E72D297353CC}">
              <c16:uniqueId val="{00000014-0152-42CB-8478-8829843D50D5}"/>
            </c:ext>
          </c:extLst>
        </c:ser>
        <c:ser>
          <c:idx val="19"/>
          <c:order val="19"/>
          <c:tx>
            <c:strRef>
              <c:f>'PC3.04_Ind02 '!$B$31:$C$31</c:f>
              <c:strCache>
                <c:ptCount val="2"/>
                <c:pt idx="0">
                  <c:v>Química Industrial i Introducció a la Recerca Química</c:v>
                </c:pt>
              </c:strCache>
            </c:strRef>
          </c:tx>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'!$F$31:$I$31</c:f>
              <c:numCache>
                <c:formatCode>0.00</c:formatCode>
                <c:ptCount val="4"/>
                <c:pt idx="0">
                  <c:v>0</c:v>
                </c:pt>
                <c:pt idx="1">
                  <c:v>0</c:v>
                </c:pt>
                <c:pt idx="2">
                  <c:v>3.45</c:v>
                </c:pt>
                <c:pt idx="3">
                  <c:v>3.47</c:v>
                </c:pt>
              </c:numCache>
            </c:numRef>
          </c:val>
          <c:extLst>
            <c:ext xmlns:c16="http://schemas.microsoft.com/office/drawing/2014/chart" uri="{C3380CC4-5D6E-409C-BE32-E72D297353CC}">
              <c16:uniqueId val="{00000015-0152-42CB-8478-8829843D50D5}"/>
            </c:ext>
          </c:extLst>
        </c:ser>
        <c:ser>
          <c:idx val="20"/>
          <c:order val="20"/>
          <c:tx>
            <c:strRef>
              <c:f>'PC3.04_Ind02 '!$B$28:$C$28</c:f>
              <c:strCache>
                <c:ptCount val="2"/>
                <c:pt idx="0">
                  <c:v>Modelització per a la Ciència i l'Enginyeria</c:v>
                </c:pt>
              </c:strCache>
            </c:strRef>
          </c:tx>
          <c:spPr>
            <a:gradFill rotWithShape="1">
              <a:gsLst>
                <a:gs pos="0">
                  <a:schemeClr val="accent3">
                    <a:lumMod val="80000"/>
                    <a:satMod val="103000"/>
                    <a:lumMod val="102000"/>
                    <a:tint val="94000"/>
                  </a:schemeClr>
                </a:gs>
                <a:gs pos="50000">
                  <a:schemeClr val="accent3">
                    <a:lumMod val="80000"/>
                    <a:satMod val="110000"/>
                    <a:lumMod val="100000"/>
                    <a:shade val="100000"/>
                  </a:schemeClr>
                </a:gs>
                <a:gs pos="100000">
                  <a:schemeClr val="accent3">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'!$F$28:$I$28</c:f>
              <c:numCache>
                <c:formatCode>0.00</c:formatCode>
                <c:ptCount val="4"/>
                <c:pt idx="0">
                  <c:v>3.47</c:v>
                </c:pt>
                <c:pt idx="1">
                  <c:v>0</c:v>
                </c:pt>
                <c:pt idx="2">
                  <c:v>0</c:v>
                </c:pt>
                <c:pt idx="3">
                  <c:v>0</c:v>
                </c:pt>
              </c:numCache>
            </c:numRef>
          </c:val>
          <c:extLst>
            <c:ext xmlns:c16="http://schemas.microsoft.com/office/drawing/2014/chart" uri="{C3380CC4-5D6E-409C-BE32-E72D297353CC}">
              <c16:uniqueId val="{00000000-514D-4951-BA84-C3FE6AA26A73}"/>
            </c:ext>
          </c:extLst>
        </c:ser>
        <c:dLbls>
          <c:showLegendKey val="0"/>
          <c:showVal val="0"/>
          <c:showCatName val="0"/>
          <c:showSerName val="0"/>
          <c:showPercent val="0"/>
          <c:showBubbleSize val="0"/>
        </c:dLbls>
        <c:gapWidth val="150"/>
        <c:axId val="1615626864"/>
        <c:axId val="930055728"/>
      </c:barChart>
      <c:lineChart>
        <c:grouping val="standard"/>
        <c:varyColors val="0"/>
        <c:ser>
          <c:idx val="13"/>
          <c:order val="13"/>
          <c:tx>
            <c:strRef>
              <c:f>'PC3.04_Ind02 '!$B$34</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w="9525">
                <a:solidFill>
                  <a:schemeClr val="accent2">
                    <a:lumMod val="80000"/>
                    <a:lumOff val="20000"/>
                  </a:schemeClr>
                </a:solidFill>
                <a:round/>
              </a:ln>
              <a:effectLst>
                <a:outerShdw blurRad="57150" dist="19050" dir="5400000" algn="ctr" rotWithShape="0">
                  <a:srgbClr val="000000">
                    <a:alpha val="63000"/>
                  </a:srgbClr>
                </a:outerShdw>
              </a:effectLst>
            </c:spPr>
          </c:marker>
          <c:cat>
            <c:strRef>
              <c:f>'PC3.04_Ind02 '!$D$13:$H$13</c:f>
              <c:strCache>
                <c:ptCount val="5"/>
                <c:pt idx="0">
                  <c:v>2018/2019</c:v>
                </c:pt>
                <c:pt idx="1">
                  <c:v>2019/2020</c:v>
                </c:pt>
                <c:pt idx="2">
                  <c:v>2020/2021</c:v>
                </c:pt>
                <c:pt idx="3">
                  <c:v>2021/2022</c:v>
                </c:pt>
                <c:pt idx="4">
                  <c:v>2022/2023</c:v>
                </c:pt>
              </c:strCache>
            </c:strRef>
          </c:cat>
          <c:val>
            <c:numRef>
              <c:f>'PC3.04_Ind02 '!$F$34:$I$34</c:f>
              <c:numCache>
                <c:formatCode>0.00</c:formatCode>
                <c:ptCount val="4"/>
                <c:pt idx="0">
                  <c:v>3</c:v>
                </c:pt>
                <c:pt idx="1">
                  <c:v>3</c:v>
                </c:pt>
                <c:pt idx="2">
                  <c:v>3</c:v>
                </c:pt>
                <c:pt idx="3">
                  <c:v>3</c:v>
                </c:pt>
              </c:numCache>
            </c:numRef>
          </c:val>
          <c:smooth val="0"/>
          <c:extLst>
            <c:ext xmlns:c16="http://schemas.microsoft.com/office/drawing/2014/chart" uri="{C3380CC4-5D6E-409C-BE32-E72D297353CC}">
              <c16:uniqueId val="{0000000E-0152-42CB-8478-8829843D50D5}"/>
            </c:ext>
          </c:extLst>
        </c:ser>
        <c:dLbls>
          <c:showLegendKey val="0"/>
          <c:showVal val="0"/>
          <c:showCatName val="0"/>
          <c:showSerName val="0"/>
          <c:showPercent val="0"/>
          <c:showBubbleSize val="0"/>
        </c:dLbls>
        <c:marker val="1"/>
        <c:smooth val="0"/>
        <c:axId val="1615626864"/>
        <c:axId val="930055728"/>
      </c:lineChart>
      <c:catAx>
        <c:axId val="1615626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930055728"/>
        <c:crosses val="autoZero"/>
        <c:auto val="1"/>
        <c:lblAlgn val="ctr"/>
        <c:lblOffset val="100"/>
        <c:noMultiLvlLbl val="0"/>
      </c:catAx>
      <c:valAx>
        <c:axId val="9300557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15626864"/>
        <c:crosses val="autoZero"/>
        <c:crossBetween val="between"/>
      </c:valAx>
      <c:spPr>
        <a:noFill/>
        <a:ln>
          <a:noFill/>
        </a:ln>
        <a:effectLst/>
      </c:spPr>
    </c:plotArea>
    <c:legend>
      <c:legendPos val="b"/>
      <c:layout>
        <c:manualLayout>
          <c:xMode val="edge"/>
          <c:yMode val="edge"/>
          <c:x val="4.5806453793945039E-2"/>
          <c:y val="0.61451726568005638"/>
          <c:w val="0.68284537080523611"/>
          <c:h val="0.3854827343199436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900" b="1">
                <a:effectLst/>
              </a:rPr>
              <a:t>PC3.04_Ind03. Valoració mitjana a l’afirmació “Els continguts de les proves i altres activitats d’avaluació es corresponen amb els continguts del curs i també amb el temps que el professorat va dedicar a cada tema”</a:t>
            </a:r>
            <a:endParaRPr lang="ca-ES" sz="9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3.3216894174458687E-2"/>
          <c:y val="0.17447876707719229"/>
          <c:w val="0.96678310582554128"/>
          <c:h val="0.3727249478430581"/>
        </c:manualLayout>
      </c:layout>
      <c:barChart>
        <c:barDir val="col"/>
        <c:grouping val="clustered"/>
        <c:varyColors val="0"/>
        <c:ser>
          <c:idx val="0"/>
          <c:order val="0"/>
          <c:tx>
            <c:strRef>
              <c:f>'PC3.04_Ind03'!$B$37</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'PC3.04_Ind03'!$C$37:$E$37</c:f>
              <c:numCache>
                <c:formatCode>General</c:formatCode>
                <c:ptCount val="3"/>
              </c:numCache>
            </c:numRef>
          </c:val>
          <c:extLst>
            <c:ext xmlns:c16="http://schemas.microsoft.com/office/drawing/2014/chart" uri="{C3380CC4-5D6E-409C-BE32-E72D297353CC}">
              <c16:uniqueId val="{00000000-C572-47F9-A59B-0A8B3917C523}"/>
            </c:ext>
          </c:extLst>
        </c:ser>
        <c:ser>
          <c:idx val="1"/>
          <c:order val="1"/>
          <c:tx>
            <c:strRef>
              <c:f>'PC3.04_Ind03'!$B$13</c:f>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'PC3.04_Ind03'!$D$13:$H$13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C572-47F9-A59B-0A8B3917C523}"/>
            </c:ext>
          </c:extLst>
        </c:ser>
        <c:ser>
          <c:idx val="2"/>
          <c:order val="2"/>
          <c:tx>
            <c:strRef>
              <c:f>'PC3.04_Ind03'!$B$14</c:f>
              <c:strCache>
                <c:ptCount val="1"/>
                <c:pt idx="0">
                  <c:v>Ciències Ambientals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'PC3.04_Ind03'!$G$14:$J$14</c:f>
              <c:numCache>
                <c:formatCode>General</c:formatCode>
                <c:ptCount val="4"/>
                <c:pt idx="0">
                  <c:v>2.9049999999999998</c:v>
                </c:pt>
                <c:pt idx="1">
                  <c:v>3.05</c:v>
                </c:pt>
                <c:pt idx="2">
                  <c:v>3.05</c:v>
                </c:pt>
                <c:pt idx="3">
                  <c:v>3.1</c:v>
                </c:pt>
              </c:numCache>
            </c:numRef>
          </c:val>
          <c:extLst>
            <c:ext xmlns:c16="http://schemas.microsoft.com/office/drawing/2014/chart" uri="{C3380CC4-5D6E-409C-BE32-E72D297353CC}">
              <c16:uniqueId val="{00000002-C572-47F9-A59B-0A8B3917C523}"/>
            </c:ext>
          </c:extLst>
        </c:ser>
        <c:ser>
          <c:idx val="3"/>
          <c:order val="3"/>
          <c:tx>
            <c:strRef>
              <c:f>'PC3.04_Ind03'!$B$15</c:f>
              <c:strCache>
                <c:ptCount val="1"/>
                <c:pt idx="0">
                  <c:v>Ciències Ambientals + Geologia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'PC3.04_Ind03'!$G$15:$J$15</c:f>
              <c:numCache>
                <c:formatCode>General</c:formatCode>
                <c:ptCount val="4"/>
                <c:pt idx="0">
                  <c:v>0</c:v>
                </c:pt>
                <c:pt idx="1">
                  <c:v>0</c:v>
                </c:pt>
                <c:pt idx="2">
                  <c:v>0</c:v>
                </c:pt>
                <c:pt idx="3">
                  <c:v>2.97</c:v>
                </c:pt>
              </c:numCache>
            </c:numRef>
          </c:val>
          <c:extLst>
            <c:ext xmlns:c16="http://schemas.microsoft.com/office/drawing/2014/chart" uri="{C3380CC4-5D6E-409C-BE32-E72D297353CC}">
              <c16:uniqueId val="{00000003-C572-47F9-A59B-0A8B3917C523}"/>
            </c:ext>
          </c:extLst>
        </c:ser>
        <c:ser>
          <c:idx val="4"/>
          <c:order val="4"/>
          <c:tx>
            <c:strRef>
              <c:f>'PC3.04_Ind03'!$B$16</c:f>
              <c:strCache>
                <c:ptCount val="1"/>
                <c:pt idx="0">
                  <c:v>Estadística Aplicada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'PC3.04_Ind03'!$G$16:$J$16</c:f>
              <c:numCache>
                <c:formatCode>General</c:formatCode>
                <c:ptCount val="4"/>
                <c:pt idx="0">
                  <c:v>2.33</c:v>
                </c:pt>
                <c:pt idx="1">
                  <c:v>3.05</c:v>
                </c:pt>
                <c:pt idx="2">
                  <c:v>3.08</c:v>
                </c:pt>
                <c:pt idx="3">
                  <c:v>2.83</c:v>
                </c:pt>
              </c:numCache>
            </c:numRef>
          </c:val>
          <c:extLst>
            <c:ext xmlns:c16="http://schemas.microsoft.com/office/drawing/2014/chart" uri="{C3380CC4-5D6E-409C-BE32-E72D297353CC}">
              <c16:uniqueId val="{00000004-C572-47F9-A59B-0A8B3917C523}"/>
            </c:ext>
          </c:extLst>
        </c:ser>
        <c:ser>
          <c:idx val="5"/>
          <c:order val="5"/>
          <c:tx>
            <c:strRef>
              <c:f>'PC3.04_Ind03'!$B$17</c:f>
              <c:strCache>
                <c:ptCount val="1"/>
                <c:pt idx="0">
                  <c:v>Física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'PC3.04_Ind03'!$G$17:$J$17</c:f>
              <c:numCache>
                <c:formatCode>General</c:formatCode>
                <c:ptCount val="4"/>
                <c:pt idx="0">
                  <c:v>3</c:v>
                </c:pt>
                <c:pt idx="1">
                  <c:v>3.08</c:v>
                </c:pt>
                <c:pt idx="2">
                  <c:v>2.97</c:v>
                </c:pt>
                <c:pt idx="3">
                  <c:v>2.78</c:v>
                </c:pt>
              </c:numCache>
            </c:numRef>
          </c:val>
          <c:extLst>
            <c:ext xmlns:c16="http://schemas.microsoft.com/office/drawing/2014/chart" uri="{C3380CC4-5D6E-409C-BE32-E72D297353CC}">
              <c16:uniqueId val="{00000005-C572-47F9-A59B-0A8B3917C523}"/>
            </c:ext>
          </c:extLst>
        </c:ser>
        <c:ser>
          <c:idx val="6"/>
          <c:order val="6"/>
          <c:tx>
            <c:strRef>
              <c:f>'PC3.04_Ind03'!$B$18</c:f>
              <c:strCache>
                <c:ptCount val="1"/>
                <c:pt idx="0">
                  <c:v>Física + Matemàtiques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'PC3.04_Ind03'!$G$18:$J$18</c:f>
              <c:numCache>
                <c:formatCode>General</c:formatCode>
                <c:ptCount val="4"/>
                <c:pt idx="0">
                  <c:v>3.085</c:v>
                </c:pt>
                <c:pt idx="1">
                  <c:v>2.94</c:v>
                </c:pt>
                <c:pt idx="2">
                  <c:v>2.79</c:v>
                </c:pt>
                <c:pt idx="3">
                  <c:v>2.95</c:v>
                </c:pt>
              </c:numCache>
            </c:numRef>
          </c:val>
          <c:extLst>
            <c:ext xmlns:c16="http://schemas.microsoft.com/office/drawing/2014/chart" uri="{C3380CC4-5D6E-409C-BE32-E72D297353CC}">
              <c16:uniqueId val="{00000006-C572-47F9-A59B-0A8B3917C523}"/>
            </c:ext>
          </c:extLst>
        </c:ser>
        <c:ser>
          <c:idx val="7"/>
          <c:order val="7"/>
          <c:tx>
            <c:strRef>
              <c:f>'PC3.04_Ind03'!$B$19</c:f>
              <c:strCache>
                <c:ptCount val="1"/>
                <c:pt idx="0">
                  <c:v>Física + 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'PC3.04_Ind03'!$G$19:$J$19</c:f>
              <c:numCache>
                <c:formatCode>General</c:formatCode>
                <c:ptCount val="4"/>
                <c:pt idx="0">
                  <c:v>2.7649999999999997</c:v>
                </c:pt>
                <c:pt idx="1">
                  <c:v>2.76</c:v>
                </c:pt>
                <c:pt idx="2">
                  <c:v>2.79</c:v>
                </c:pt>
                <c:pt idx="3">
                  <c:v>2.81</c:v>
                </c:pt>
              </c:numCache>
            </c:numRef>
          </c:val>
          <c:extLst>
            <c:ext xmlns:c16="http://schemas.microsoft.com/office/drawing/2014/chart" uri="{C3380CC4-5D6E-409C-BE32-E72D297353CC}">
              <c16:uniqueId val="{00000007-C572-47F9-A59B-0A8B3917C523}"/>
            </c:ext>
          </c:extLst>
        </c:ser>
        <c:ser>
          <c:idx val="8"/>
          <c:order val="8"/>
          <c:tx>
            <c:strRef>
              <c:f>'PC3.04_Ind03'!$B$20</c:f>
              <c:strCache>
                <c:ptCount val="1"/>
                <c:pt idx="0">
                  <c:v>Geologia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'PC3.04_Ind03'!$G$20:$J$20</c:f>
              <c:numCache>
                <c:formatCode>General</c:formatCode>
                <c:ptCount val="4"/>
                <c:pt idx="0">
                  <c:v>2.91</c:v>
                </c:pt>
                <c:pt idx="1">
                  <c:v>3.15</c:v>
                </c:pt>
                <c:pt idx="2">
                  <c:v>2.95</c:v>
                </c:pt>
                <c:pt idx="3">
                  <c:v>2.97</c:v>
                </c:pt>
              </c:numCache>
            </c:numRef>
          </c:val>
          <c:extLst>
            <c:ext xmlns:c16="http://schemas.microsoft.com/office/drawing/2014/chart" uri="{C3380CC4-5D6E-409C-BE32-E72D297353CC}">
              <c16:uniqueId val="{00000008-C572-47F9-A59B-0A8B3917C523}"/>
            </c:ext>
          </c:extLst>
        </c:ser>
        <c:ser>
          <c:idx val="9"/>
          <c:order val="9"/>
          <c:tx>
            <c:strRef>
              <c:f>'PC3.04_Ind03'!$B$21</c:f>
              <c:strCache>
                <c:ptCount val="1"/>
                <c:pt idx="0">
                  <c:v>Matemàtica Computacional i Analítica de Dades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'PC3.04_Ind03'!$G$21:$J$21</c:f>
              <c:numCache>
                <c:formatCode>General</c:formatCode>
                <c:ptCount val="4"/>
                <c:pt idx="0">
                  <c:v>3.0700000000000003</c:v>
                </c:pt>
                <c:pt idx="1">
                  <c:v>3.09</c:v>
                </c:pt>
                <c:pt idx="2">
                  <c:v>3.05</c:v>
                </c:pt>
                <c:pt idx="3">
                  <c:v>3.21</c:v>
                </c:pt>
              </c:numCache>
            </c:numRef>
          </c:val>
          <c:extLst>
            <c:ext xmlns:c16="http://schemas.microsoft.com/office/drawing/2014/chart" uri="{C3380CC4-5D6E-409C-BE32-E72D297353CC}">
              <c16:uniqueId val="{00000009-C572-47F9-A59B-0A8B3917C523}"/>
            </c:ext>
          </c:extLst>
        </c:ser>
        <c:ser>
          <c:idx val="10"/>
          <c:order val="10"/>
          <c:tx>
            <c:strRef>
              <c:f>'PC3.04_Ind03'!$B$22</c:f>
              <c:strCache>
                <c:ptCount val="1"/>
                <c:pt idx="0">
                  <c:v>Matemàtiques</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'PC3.04_Ind03'!$G$22:$J$22</c:f>
              <c:numCache>
                <c:formatCode>General</c:formatCode>
                <c:ptCount val="4"/>
                <c:pt idx="0">
                  <c:v>3.2350000000000003</c:v>
                </c:pt>
                <c:pt idx="1">
                  <c:v>3.05</c:v>
                </c:pt>
                <c:pt idx="2">
                  <c:v>3.27</c:v>
                </c:pt>
                <c:pt idx="3">
                  <c:v>3.09</c:v>
                </c:pt>
              </c:numCache>
            </c:numRef>
          </c:val>
          <c:extLst>
            <c:ext xmlns:c16="http://schemas.microsoft.com/office/drawing/2014/chart" uri="{C3380CC4-5D6E-409C-BE32-E72D297353CC}">
              <c16:uniqueId val="{0000000A-C572-47F9-A59B-0A8B3917C523}"/>
            </c:ext>
          </c:extLst>
        </c:ser>
        <c:ser>
          <c:idx val="11"/>
          <c:order val="11"/>
          <c:tx>
            <c:strRef>
              <c:f>'PC3.04_Ind03'!$B$23</c:f>
              <c:strCache>
                <c:ptCount val="1"/>
                <c:pt idx="0">
                  <c:v>Nanociència i Nanotecnologia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'PC3.04_Ind03'!$G$23:$J$23</c:f>
              <c:numCache>
                <c:formatCode>General</c:formatCode>
                <c:ptCount val="4"/>
                <c:pt idx="0">
                  <c:v>2.9299999999999997</c:v>
                </c:pt>
                <c:pt idx="1">
                  <c:v>3.2</c:v>
                </c:pt>
                <c:pt idx="2">
                  <c:v>3.22</c:v>
                </c:pt>
                <c:pt idx="3">
                  <c:v>3.16</c:v>
                </c:pt>
              </c:numCache>
            </c:numRef>
          </c:val>
          <c:extLst>
            <c:ext xmlns:c16="http://schemas.microsoft.com/office/drawing/2014/chart" uri="{C3380CC4-5D6E-409C-BE32-E72D297353CC}">
              <c16:uniqueId val="{0000000B-C572-47F9-A59B-0A8B3917C523}"/>
            </c:ext>
          </c:extLst>
        </c:ser>
        <c:ser>
          <c:idx val="12"/>
          <c:order val="12"/>
          <c:tx>
            <c:strRef>
              <c:f>'PC3.04_Ind03'!$B$25</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'PC3.04_Ind03'!$G$25:$J$25</c:f>
              <c:numCache>
                <c:formatCode>General</c:formatCode>
                <c:ptCount val="4"/>
                <c:pt idx="0">
                  <c:v>0</c:v>
                </c:pt>
                <c:pt idx="1">
                  <c:v>3.48</c:v>
                </c:pt>
                <c:pt idx="2">
                  <c:v>3.37</c:v>
                </c:pt>
                <c:pt idx="3">
                  <c:v>3.2</c:v>
                </c:pt>
              </c:numCache>
            </c:numRef>
          </c:val>
          <c:extLst>
            <c:ext xmlns:c16="http://schemas.microsoft.com/office/drawing/2014/chart" uri="{C3380CC4-5D6E-409C-BE32-E72D297353CC}">
              <c16:uniqueId val="{0000000C-C572-47F9-A59B-0A8B3917C523}"/>
            </c:ext>
          </c:extLst>
        </c:ser>
        <c:ser>
          <c:idx val="13"/>
          <c:order val="13"/>
          <c:tx>
            <c:strRef>
              <c:f>'PC3.04_Ind03'!$B$26</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'PC3.04_Ind03'!$G$26:$J$26</c:f>
              <c:numCache>
                <c:formatCode>General</c:formatCode>
                <c:ptCount val="4"/>
                <c:pt idx="0">
                  <c:v>3.21</c:v>
                </c:pt>
                <c:pt idx="1">
                  <c:v>2.56</c:v>
                </c:pt>
                <c:pt idx="2">
                  <c:v>4</c:v>
                </c:pt>
                <c:pt idx="3">
                  <c:v>3.1</c:v>
                </c:pt>
              </c:numCache>
            </c:numRef>
          </c:val>
          <c:extLst>
            <c:ext xmlns:c16="http://schemas.microsoft.com/office/drawing/2014/chart" uri="{C3380CC4-5D6E-409C-BE32-E72D297353CC}">
              <c16:uniqueId val="{0000000D-C572-47F9-A59B-0A8B3917C523}"/>
            </c:ext>
          </c:extLst>
        </c:ser>
        <c:ser>
          <c:idx val="14"/>
          <c:order val="14"/>
          <c:tx>
            <c:strRef>
              <c:f>'PC3.04_Ind03'!$B$27</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'PC3.04_Ind03'!$G$27:$J$27</c:f>
              <c:numCache>
                <c:formatCode>General</c:formatCode>
                <c:ptCount val="4"/>
                <c:pt idx="0">
                  <c:v>3.71</c:v>
                </c:pt>
                <c:pt idx="1">
                  <c:v>3.5</c:v>
                </c:pt>
                <c:pt idx="2">
                  <c:v>3.55</c:v>
                </c:pt>
                <c:pt idx="3">
                  <c:v>3.38</c:v>
                </c:pt>
              </c:numCache>
            </c:numRef>
          </c:val>
          <c:extLst>
            <c:ext xmlns:c16="http://schemas.microsoft.com/office/drawing/2014/chart" uri="{C3380CC4-5D6E-409C-BE32-E72D297353CC}">
              <c16:uniqueId val="{0000000E-C572-47F9-A59B-0A8B3917C523}"/>
            </c:ext>
          </c:extLst>
        </c:ser>
        <c:ser>
          <c:idx val="15"/>
          <c:order val="15"/>
          <c:tx>
            <c:strRef>
              <c:f>'PC3.04_Ind03'!$B$28</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'PC3.04_Ind03'!$G$28:$J$28</c:f>
              <c:numCache>
                <c:formatCode>General</c:formatCode>
                <c:ptCount val="4"/>
                <c:pt idx="0">
                  <c:v>2.83</c:v>
                </c:pt>
                <c:pt idx="1">
                  <c:v>0</c:v>
                </c:pt>
                <c:pt idx="2">
                  <c:v>0</c:v>
                </c:pt>
                <c:pt idx="3">
                  <c:v>0</c:v>
                </c:pt>
              </c:numCache>
            </c:numRef>
          </c:val>
          <c:extLst>
            <c:ext xmlns:c16="http://schemas.microsoft.com/office/drawing/2014/chart" uri="{C3380CC4-5D6E-409C-BE32-E72D297353CC}">
              <c16:uniqueId val="{0000000F-C572-47F9-A59B-0A8B3917C523}"/>
            </c:ext>
          </c:extLst>
        </c:ser>
        <c:ser>
          <c:idx val="16"/>
          <c:order val="16"/>
          <c:tx>
            <c:strRef>
              <c:f>'PC3.04_Ind03'!$B$29</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'PC3.04_Ind03'!$G$29:$J$29</c:f>
              <c:numCache>
                <c:formatCode>General</c:formatCode>
                <c:ptCount val="4"/>
                <c:pt idx="0">
                  <c:v>0</c:v>
                </c:pt>
                <c:pt idx="1">
                  <c:v>2.4</c:v>
                </c:pt>
                <c:pt idx="2">
                  <c:v>3.01</c:v>
                </c:pt>
                <c:pt idx="3">
                  <c:v>2.66</c:v>
                </c:pt>
              </c:numCache>
            </c:numRef>
          </c:val>
          <c:extLst>
            <c:ext xmlns:c16="http://schemas.microsoft.com/office/drawing/2014/chart" uri="{C3380CC4-5D6E-409C-BE32-E72D297353CC}">
              <c16:uniqueId val="{00000010-C572-47F9-A59B-0A8B3917C523}"/>
            </c:ext>
          </c:extLst>
        </c:ser>
        <c:ser>
          <c:idx val="17"/>
          <c:order val="17"/>
          <c:tx>
            <c:strRef>
              <c:f>'PC3.04_Ind03'!$B$30</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'PC3.04_Ind03'!$G$30:$J$30</c:f>
              <c:numCache>
                <c:formatCode>General</c:formatCode>
                <c:ptCount val="4"/>
                <c:pt idx="0">
                  <c:v>0</c:v>
                </c:pt>
                <c:pt idx="1">
                  <c:v>0</c:v>
                </c:pt>
                <c:pt idx="2">
                  <c:v>0</c:v>
                </c:pt>
                <c:pt idx="3">
                  <c:v>2.75</c:v>
                </c:pt>
              </c:numCache>
            </c:numRef>
          </c:val>
          <c:extLst>
            <c:ext xmlns:c16="http://schemas.microsoft.com/office/drawing/2014/chart" uri="{C3380CC4-5D6E-409C-BE32-E72D297353CC}">
              <c16:uniqueId val="{00000011-C572-47F9-A59B-0A8B3917C523}"/>
            </c:ext>
          </c:extLst>
        </c:ser>
        <c:ser>
          <c:idx val="18"/>
          <c:order val="18"/>
          <c:tx>
            <c:strRef>
              <c:f>'PC3.04_Ind03'!$B$31</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'PC3.04_Ind03'!$G$31:$J$31</c:f>
              <c:numCache>
                <c:formatCode>General</c:formatCode>
                <c:ptCount val="4"/>
                <c:pt idx="0">
                  <c:v>0</c:v>
                </c:pt>
                <c:pt idx="1">
                  <c:v>0</c:v>
                </c:pt>
                <c:pt idx="2">
                  <c:v>3.04</c:v>
                </c:pt>
                <c:pt idx="3">
                  <c:v>3.58</c:v>
                </c:pt>
              </c:numCache>
            </c:numRef>
          </c:val>
          <c:extLst>
            <c:ext xmlns:c16="http://schemas.microsoft.com/office/drawing/2014/chart" uri="{C3380CC4-5D6E-409C-BE32-E72D297353CC}">
              <c16:uniqueId val="{00000012-C572-47F9-A59B-0A8B3917C523}"/>
            </c:ext>
          </c:extLst>
        </c:ser>
        <c:ser>
          <c:idx val="20"/>
          <c:order val="19"/>
          <c:tx>
            <c:strRef>
              <c:f>'PC3.04_Ind03'!#REF!</c:f>
              <c:strCache>
                <c:ptCount val="1"/>
                <c:pt idx="0">
                  <c:v>#REF!</c:v>
                </c:pt>
              </c:strCache>
            </c:strRef>
          </c:tx>
          <c:spPr>
            <a:gradFill rotWithShape="1">
              <a:gsLst>
                <a:gs pos="0">
                  <a:schemeClr val="accent3">
                    <a:lumMod val="80000"/>
                    <a:satMod val="103000"/>
                    <a:lumMod val="102000"/>
                    <a:tint val="94000"/>
                  </a:schemeClr>
                </a:gs>
                <a:gs pos="50000">
                  <a:schemeClr val="accent3">
                    <a:lumMod val="80000"/>
                    <a:satMod val="110000"/>
                    <a:lumMod val="100000"/>
                    <a:shade val="100000"/>
                  </a:schemeClr>
                </a:gs>
                <a:gs pos="100000">
                  <a:schemeClr val="accent3">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'PC3.04_Ind03'!#REF!</c:f>
              <c:numCache>
                <c:formatCode>General</c:formatCode>
                <c:ptCount val="1"/>
                <c:pt idx="0">
                  <c:v>1</c:v>
                </c:pt>
              </c:numCache>
            </c:numRef>
          </c:val>
          <c:extLst>
            <c:ext xmlns:c16="http://schemas.microsoft.com/office/drawing/2014/chart" uri="{C3380CC4-5D6E-409C-BE32-E72D297353CC}">
              <c16:uniqueId val="{00000014-C572-47F9-A59B-0A8B3917C523}"/>
            </c:ext>
          </c:extLst>
        </c:ser>
        <c:ser>
          <c:idx val="21"/>
          <c:order val="20"/>
          <c:tx>
            <c:strRef>
              <c:f>'PC3.04_Ind03'!$B$34</c:f>
              <c:strCache>
                <c:ptCount val="1"/>
                <c:pt idx="0">
                  <c:v>Valor objectiu</c:v>
                </c:pt>
              </c:strCache>
            </c:strRef>
          </c:tx>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'PC3.04_Ind03'!$G$34:$J$34</c:f>
              <c:numCache>
                <c:formatCode>0.00</c:formatCode>
                <c:ptCount val="4"/>
                <c:pt idx="0">
                  <c:v>3</c:v>
                </c:pt>
                <c:pt idx="1">
                  <c:v>3</c:v>
                </c:pt>
                <c:pt idx="2">
                  <c:v>3</c:v>
                </c:pt>
                <c:pt idx="3">
                  <c:v>3</c:v>
                </c:pt>
              </c:numCache>
            </c:numRef>
          </c:val>
          <c:extLst>
            <c:ext xmlns:c16="http://schemas.microsoft.com/office/drawing/2014/chart" uri="{C3380CC4-5D6E-409C-BE32-E72D297353CC}">
              <c16:uniqueId val="{00000015-C572-47F9-A59B-0A8B3917C523}"/>
            </c:ext>
          </c:extLst>
        </c:ser>
        <c:ser>
          <c:idx val="19"/>
          <c:order val="21"/>
          <c:tx>
            <c:strRef>
              <c:f>'PC3.04_Ind03'!$B$24</c:f>
              <c:strCache>
                <c:ptCount val="1"/>
                <c:pt idx="0">
                  <c:v>Química</c:v>
                </c:pt>
              </c:strCache>
            </c:strRef>
          </c:tx>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val>
            <c:numRef>
              <c:f>'PC3.04_Ind03'!$G$24:$J$24</c:f>
              <c:numCache>
                <c:formatCode>General</c:formatCode>
                <c:ptCount val="4"/>
                <c:pt idx="0">
                  <c:v>2.99</c:v>
                </c:pt>
                <c:pt idx="1">
                  <c:v>3.11</c:v>
                </c:pt>
                <c:pt idx="2">
                  <c:v>0</c:v>
                </c:pt>
                <c:pt idx="3">
                  <c:v>3.14</c:v>
                </c:pt>
              </c:numCache>
            </c:numRef>
          </c:val>
          <c:extLst>
            <c:ext xmlns:c16="http://schemas.microsoft.com/office/drawing/2014/chart" uri="{C3380CC4-5D6E-409C-BE32-E72D297353CC}">
              <c16:uniqueId val="{00000000-58A4-4A22-81AB-BFC1398FC055}"/>
            </c:ext>
          </c:extLst>
        </c:ser>
        <c:dLbls>
          <c:showLegendKey val="0"/>
          <c:showVal val="0"/>
          <c:showCatName val="0"/>
          <c:showSerName val="0"/>
          <c:showPercent val="0"/>
          <c:showBubbleSize val="0"/>
        </c:dLbls>
        <c:gapWidth val="100"/>
        <c:overlap val="-24"/>
        <c:axId val="1732217664"/>
        <c:axId val="1354710160"/>
      </c:barChart>
      <c:catAx>
        <c:axId val="1732217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4710160"/>
        <c:crosses val="autoZero"/>
        <c:auto val="1"/>
        <c:lblAlgn val="ctr"/>
        <c:lblOffset val="100"/>
        <c:noMultiLvlLbl val="0"/>
      </c:catAx>
      <c:valAx>
        <c:axId val="1354710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32217664"/>
        <c:crosses val="autoZero"/>
        <c:crossBetween val="between"/>
      </c:valAx>
      <c:spPr>
        <a:noFill/>
        <a:ln>
          <a:noFill/>
        </a:ln>
        <a:effectLst/>
      </c:spPr>
    </c:plotArea>
    <c:legend>
      <c:legendPos val="b"/>
      <c:layout>
        <c:manualLayout>
          <c:xMode val="edge"/>
          <c:yMode val="edge"/>
          <c:x val="1.8520627825047136E-2"/>
          <c:y val="0.73175082943482916"/>
          <c:w val="0.87295472149135134"/>
          <c:h val="0.2682491251093613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PC3.05_Ind02.  Número d'activitats realitzades pel Consell d'Estudiants (Pla Estratègic 2022/2023 a 2024/2025)</a:t>
            </a:r>
            <a:endParaRPr lang="ca-ES" sz="10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8.6037920009396654E-2"/>
          <c:y val="0.24729137079414418"/>
          <c:w val="0.60709238488591988"/>
          <c:h val="0.65297533874612579"/>
        </c:manualLayout>
      </c:layout>
      <c:barChart>
        <c:barDir val="col"/>
        <c:grouping val="clustered"/>
        <c:varyColors val="0"/>
        <c:ser>
          <c:idx val="1"/>
          <c:order val="0"/>
          <c:tx>
            <c:strRef>
              <c:f>'PC3.05_Ind01'!$B$14</c:f>
              <c:strCache>
                <c:ptCount val="1"/>
                <c:pt idx="0">
                  <c:v>Nombre de persones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'PC3.05_Ind01'!$E$13:$H$13</c:f>
              <c:strCache>
                <c:ptCount val="4"/>
                <c:pt idx="0">
                  <c:v>2020/2021</c:v>
                </c:pt>
                <c:pt idx="1">
                  <c:v>2021/2022</c:v>
                </c:pt>
                <c:pt idx="2">
                  <c:v>2022/2023</c:v>
                </c:pt>
                <c:pt idx="3">
                  <c:v>2023/2024</c:v>
                </c:pt>
              </c:strCache>
            </c:strRef>
          </c:cat>
          <c:val>
            <c:numRef>
              <c:f>'PC3.05_Ind01'!$E$14:$H$14</c:f>
              <c:numCache>
                <c:formatCode>General</c:formatCode>
                <c:ptCount val="4"/>
                <c:pt idx="0">
                  <c:v>3361</c:v>
                </c:pt>
                <c:pt idx="1">
                  <c:v>2839</c:v>
                </c:pt>
                <c:pt idx="2">
                  <c:v>4644</c:v>
                </c:pt>
                <c:pt idx="3">
                  <c:v>2580</c:v>
                </c:pt>
              </c:numCache>
            </c:numRef>
          </c:val>
          <c:extLst>
            <c:ext xmlns:c16="http://schemas.microsoft.com/office/drawing/2014/chart" uri="{C3380CC4-5D6E-409C-BE32-E72D297353CC}">
              <c16:uniqueId val="{00000001-2043-475E-811E-C6B6B6E2B766}"/>
            </c:ext>
          </c:extLst>
        </c:ser>
        <c:dLbls>
          <c:showLegendKey val="0"/>
          <c:showVal val="0"/>
          <c:showCatName val="0"/>
          <c:showSerName val="0"/>
          <c:showPercent val="0"/>
          <c:showBubbleSize val="0"/>
        </c:dLbls>
        <c:gapWidth val="100"/>
        <c:axId val="1558975936"/>
        <c:axId val="1349765824"/>
        <c:extLst/>
      </c:barChart>
      <c:lineChart>
        <c:grouping val="standard"/>
        <c:varyColors val="0"/>
        <c:ser>
          <c:idx val="2"/>
          <c:order val="1"/>
          <c:tx>
            <c:strRef>
              <c:f>'PC3.05_Ind01'!$B$15</c:f>
              <c:strCache>
                <c:ptCount val="1"/>
                <c:pt idx="0">
                  <c:v>Valor de l'objectiu</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'PC3.05_Ind01'!$E$13:$H$13</c:f>
              <c:strCache>
                <c:ptCount val="4"/>
                <c:pt idx="0">
                  <c:v>2020/2021</c:v>
                </c:pt>
                <c:pt idx="1">
                  <c:v>2021/2022</c:v>
                </c:pt>
                <c:pt idx="2">
                  <c:v>2022/2023</c:v>
                </c:pt>
                <c:pt idx="3">
                  <c:v>2023/2024</c:v>
                </c:pt>
              </c:strCache>
            </c:strRef>
          </c:cat>
          <c:val>
            <c:numRef>
              <c:f>'PC3.05_Ind01'!$E$15:$H$15</c:f>
              <c:numCache>
                <c:formatCode>General</c:formatCode>
                <c:ptCount val="4"/>
                <c:pt idx="0">
                  <c:v>2000</c:v>
                </c:pt>
                <c:pt idx="1">
                  <c:v>2000</c:v>
                </c:pt>
                <c:pt idx="2">
                  <c:v>4500</c:v>
                </c:pt>
                <c:pt idx="3">
                  <c:v>4500</c:v>
                </c:pt>
              </c:numCache>
            </c:numRef>
          </c:val>
          <c:smooth val="0"/>
          <c:extLst>
            <c:ext xmlns:c16="http://schemas.microsoft.com/office/drawing/2014/chart" uri="{C3380CC4-5D6E-409C-BE32-E72D297353CC}">
              <c16:uniqueId val="{00000002-2043-475E-811E-C6B6B6E2B766}"/>
            </c:ext>
          </c:extLst>
        </c:ser>
        <c:dLbls>
          <c:showLegendKey val="0"/>
          <c:showVal val="0"/>
          <c:showCatName val="0"/>
          <c:showSerName val="0"/>
          <c:showPercent val="0"/>
          <c:showBubbleSize val="0"/>
        </c:dLbls>
        <c:marker val="1"/>
        <c:smooth val="0"/>
        <c:axId val="1558975936"/>
        <c:axId val="1349765824"/>
      </c:lineChart>
      <c:catAx>
        <c:axId val="15589759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9765824"/>
        <c:crosses val="autoZero"/>
        <c:auto val="0"/>
        <c:lblAlgn val="ctr"/>
        <c:lblOffset val="100"/>
        <c:noMultiLvlLbl val="0"/>
      </c:catAx>
      <c:valAx>
        <c:axId val="1349765824"/>
        <c:scaling>
          <c:orientation val="minMax"/>
          <c:max val="5000"/>
          <c:min val="1000"/>
        </c:scaling>
        <c:delete val="0"/>
        <c:axPos val="l"/>
        <c:majorGridlines>
          <c:spPr>
            <a:ln w="9525" cap="flat" cmpd="sng" algn="ctr">
              <a:solidFill>
                <a:schemeClr val="lt1">
                  <a:lumMod val="95000"/>
                  <a:alpha val="1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58975936"/>
        <c:crossesAt val="1"/>
        <c:crossBetween val="between"/>
        <c:minorUnit val="500"/>
      </c:valAx>
      <c:spPr>
        <a:noFill/>
        <a:ln>
          <a:noFill/>
        </a:ln>
        <a:effectLst/>
      </c:spPr>
    </c:plotArea>
    <c:legend>
      <c:legendPos val="r"/>
      <c:layout>
        <c:manualLayout>
          <c:xMode val="edge"/>
          <c:yMode val="edge"/>
          <c:x val="0.70734303411358035"/>
          <c:y val="0.63533285100529668"/>
          <c:w val="0.29265694558502581"/>
          <c:h val="0.217110855060424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PC3.05_Ind02.  Número d'activitats realitzades pel Consell d'Estudiants (Pla Estratègic 2022/2023 a 2024/2025)</a:t>
            </a:r>
            <a:endParaRPr lang="ca-ES" sz="10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'PC3.05_Ind02'!$B$22</c:f>
              <c:strCache>
                <c:ptCount val="1"/>
                <c:pt idx="0">
                  <c:v>9.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'PC3.05_Ind02'!$E$13:$H$13</c:f>
              <c:strCache>
                <c:ptCount val="4"/>
                <c:pt idx="0">
                  <c:v>2020/2021</c:v>
                </c:pt>
                <c:pt idx="1">
                  <c:v>2021/2022</c:v>
                </c:pt>
                <c:pt idx="2">
                  <c:v>2022/2023</c:v>
                </c:pt>
                <c:pt idx="3">
                  <c:v>2023/2024</c:v>
                </c:pt>
              </c:strCache>
            </c:strRef>
          </c:cat>
          <c:val>
            <c:numRef>
              <c:f>'PC3.05_Ind02'!$C$22:$E$22</c:f>
              <c:numCache>
                <c:formatCode>General</c:formatCode>
                <c:ptCount val="3"/>
              </c:numCache>
            </c:numRef>
          </c:val>
          <c:extLst>
            <c:ext xmlns:c16="http://schemas.microsoft.com/office/drawing/2014/chart" uri="{C3380CC4-5D6E-409C-BE32-E72D297353CC}">
              <c16:uniqueId val="{00000000-FA47-47DB-A3BA-9A98D6D3499C}"/>
            </c:ext>
          </c:extLst>
        </c:ser>
        <c:ser>
          <c:idx val="1"/>
          <c:order val="1"/>
          <c:tx>
            <c:strRef>
              <c:f>'PC3.05_Ind02'!$B$14</c:f>
              <c:strCache>
                <c:ptCount val="1"/>
                <c:pt idx="0">
                  <c:v>Núm.Activitats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'PC3.05_Ind02'!$E$13:$H$13</c:f>
              <c:strCache>
                <c:ptCount val="4"/>
                <c:pt idx="0">
                  <c:v>2020/2021</c:v>
                </c:pt>
                <c:pt idx="1">
                  <c:v>2021/2022</c:v>
                </c:pt>
                <c:pt idx="2">
                  <c:v>2022/2023</c:v>
                </c:pt>
                <c:pt idx="3">
                  <c:v>2023/2024</c:v>
                </c:pt>
              </c:strCache>
            </c:strRef>
          </c:cat>
          <c:val>
            <c:numRef>
              <c:f>'PC3.05_Ind02'!$E$14:$H$14</c:f>
              <c:numCache>
                <c:formatCode>General</c:formatCode>
                <c:ptCount val="4"/>
                <c:pt idx="0">
                  <c:v>0</c:v>
                </c:pt>
                <c:pt idx="1">
                  <c:v>0</c:v>
                </c:pt>
                <c:pt idx="2">
                  <c:v>2</c:v>
                </c:pt>
                <c:pt idx="3">
                  <c:v>2</c:v>
                </c:pt>
              </c:numCache>
            </c:numRef>
          </c:val>
          <c:extLst>
            <c:ext xmlns:c16="http://schemas.microsoft.com/office/drawing/2014/chart" uri="{C3380CC4-5D6E-409C-BE32-E72D297353CC}">
              <c16:uniqueId val="{00000001-FA47-47DB-A3BA-9A98D6D3499C}"/>
            </c:ext>
          </c:extLst>
        </c:ser>
        <c:dLbls>
          <c:showLegendKey val="0"/>
          <c:showVal val="0"/>
          <c:showCatName val="0"/>
          <c:showSerName val="0"/>
          <c:showPercent val="0"/>
          <c:showBubbleSize val="0"/>
        </c:dLbls>
        <c:gapWidth val="100"/>
        <c:axId val="1558975936"/>
        <c:axId val="1349765824"/>
      </c:barChart>
      <c:lineChart>
        <c:grouping val="standard"/>
        <c:varyColors val="0"/>
        <c:ser>
          <c:idx val="2"/>
          <c:order val="2"/>
          <c:tx>
            <c:strRef>
              <c:f>'PC3.05_Ind02'!$B$15</c:f>
              <c:strCache>
                <c:ptCount val="1"/>
                <c:pt idx="0">
                  <c:v>Valor de l'objectiu</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'PC3.05_Ind02'!$E$13:$H$13</c:f>
              <c:strCache>
                <c:ptCount val="4"/>
                <c:pt idx="0">
                  <c:v>2020/2021</c:v>
                </c:pt>
                <c:pt idx="1">
                  <c:v>2021/2022</c:v>
                </c:pt>
                <c:pt idx="2">
                  <c:v>2022/2023</c:v>
                </c:pt>
                <c:pt idx="3">
                  <c:v>2023/2024</c:v>
                </c:pt>
              </c:strCache>
            </c:strRef>
          </c:cat>
          <c:val>
            <c:numRef>
              <c:f>'PC3.05_Ind02'!$E$15:$H$15</c:f>
              <c:numCache>
                <c:formatCode>General</c:formatCode>
                <c:ptCount val="4"/>
                <c:pt idx="0">
                  <c:v>1</c:v>
                </c:pt>
                <c:pt idx="1">
                  <c:v>1</c:v>
                </c:pt>
                <c:pt idx="2">
                  <c:v>1</c:v>
                </c:pt>
                <c:pt idx="3">
                  <c:v>1</c:v>
                </c:pt>
              </c:numCache>
            </c:numRef>
          </c:val>
          <c:smooth val="0"/>
          <c:extLst>
            <c:ext xmlns:c16="http://schemas.microsoft.com/office/drawing/2014/chart" uri="{C3380CC4-5D6E-409C-BE32-E72D297353CC}">
              <c16:uniqueId val="{00000002-FA47-47DB-A3BA-9A98D6D3499C}"/>
            </c:ext>
          </c:extLst>
        </c:ser>
        <c:dLbls>
          <c:showLegendKey val="0"/>
          <c:showVal val="0"/>
          <c:showCatName val="0"/>
          <c:showSerName val="0"/>
          <c:showPercent val="0"/>
          <c:showBubbleSize val="0"/>
        </c:dLbls>
        <c:marker val="1"/>
        <c:smooth val="0"/>
        <c:axId val="1558975936"/>
        <c:axId val="1349765824"/>
      </c:lineChart>
      <c:catAx>
        <c:axId val="15589759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9765824"/>
        <c:crosses val="autoZero"/>
        <c:auto val="0"/>
        <c:lblAlgn val="ctr"/>
        <c:lblOffset val="100"/>
        <c:noMultiLvlLbl val="0"/>
      </c:catAx>
      <c:valAx>
        <c:axId val="1349765824"/>
        <c:scaling>
          <c:orientation val="minMax"/>
          <c:max val="1"/>
          <c:min val="-1"/>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58975936"/>
        <c:crossesAt val="1"/>
        <c:crossBetween val="between"/>
        <c:maj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200" b="1" i="0" u="none" strike="noStrike" baseline="0">
                <a:effectLst/>
              </a:rPr>
              <a:t>PS4.01_Ind01. Taxa de matrícula respecte a les places ofertes per curs acadèmic i titulació</a:t>
            </a:r>
            <a:endParaRPr lang="ca-ES" sz="12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'PS4.01_Ind01'!$B$15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'PS4.01_Ind01'!$G$15:$J$15</c:f>
              <c:numCache>
                <c:formatCode>0.00%</c:formatCode>
                <c:ptCount val="4"/>
                <c:pt idx="0">
                  <c:v>1.1200000000000001</c:v>
                </c:pt>
                <c:pt idx="1">
                  <c:v>1.05</c:v>
                </c:pt>
                <c:pt idx="2">
                  <c:v>1</c:v>
                </c:pt>
                <c:pt idx="3">
                  <c:v>1</c:v>
                </c:pt>
              </c:numCache>
            </c:numRef>
          </c:val>
          <c:extLst>
            <c:ext xmlns:c16="http://schemas.microsoft.com/office/drawing/2014/chart" uri="{C3380CC4-5D6E-409C-BE32-E72D297353CC}">
              <c16:uniqueId val="{00000000-45AF-407C-85CB-AFD8769AF71B}"/>
            </c:ext>
          </c:extLst>
        </c:ser>
        <c:ser>
          <c:idx val="1"/>
          <c:order val="1"/>
          <c:tx>
            <c:strRef>
              <c:f>'PS4.01_Ind01'!$B$16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'PS4.01_Ind01'!$G$16:$J$16</c:f>
              <c:numCache>
                <c:formatCode>0.00%</c:formatCode>
                <c:ptCount val="4"/>
                <c:pt idx="0">
                  <c:v>1.17</c:v>
                </c:pt>
                <c:pt idx="1">
                  <c:v>0</c:v>
                </c:pt>
                <c:pt idx="2">
                  <c:v>1</c:v>
                </c:pt>
                <c:pt idx="3">
                  <c:v>1.0666</c:v>
                </c:pt>
              </c:numCache>
            </c:numRef>
          </c:val>
          <c:extLst>
            <c:ext xmlns:c16="http://schemas.microsoft.com/office/drawing/2014/chart" uri="{C3380CC4-5D6E-409C-BE32-E72D297353CC}">
              <c16:uniqueId val="{00000001-45AF-407C-85CB-AFD8769AF71B}"/>
            </c:ext>
          </c:extLst>
        </c:ser>
        <c:ser>
          <c:idx val="2"/>
          <c:order val="2"/>
          <c:tx>
            <c:strRef>
              <c:f>'PS4.01_Ind01'!$B$17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'PS4.01_Ind01'!$G$17:$J$17</c:f>
              <c:numCache>
                <c:formatCode>0.00%</c:formatCode>
                <c:ptCount val="4"/>
                <c:pt idx="0">
                  <c:v>1.25</c:v>
                </c:pt>
                <c:pt idx="1">
                  <c:v>1.02</c:v>
                </c:pt>
                <c:pt idx="2">
                  <c:v>1.075</c:v>
                </c:pt>
                <c:pt idx="3">
                  <c:v>1.075</c:v>
                </c:pt>
              </c:numCache>
            </c:numRef>
          </c:val>
          <c:extLst>
            <c:ext xmlns:c16="http://schemas.microsoft.com/office/drawing/2014/chart" uri="{C3380CC4-5D6E-409C-BE32-E72D297353CC}">
              <c16:uniqueId val="{00000002-45AF-407C-85CB-AFD8769AF71B}"/>
            </c:ext>
          </c:extLst>
        </c:ser>
        <c:ser>
          <c:idx val="3"/>
          <c:order val="3"/>
          <c:tx>
            <c:strRef>
              <c:f>'PS4.01_Ind01'!$B$18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'PS4.01_Ind01'!$G$18:$J$18</c:f>
              <c:numCache>
                <c:formatCode>0.00%</c:formatCode>
                <c:ptCount val="4"/>
                <c:pt idx="0">
                  <c:v>1.1000000000000001</c:v>
                </c:pt>
                <c:pt idx="1">
                  <c:v>1.0285</c:v>
                </c:pt>
                <c:pt idx="2">
                  <c:v>1.0857000000000001</c:v>
                </c:pt>
                <c:pt idx="3">
                  <c:v>1.1143000000000001</c:v>
                </c:pt>
              </c:numCache>
            </c:numRef>
          </c:val>
          <c:extLst>
            <c:ext xmlns:c16="http://schemas.microsoft.com/office/drawing/2014/chart" uri="{C3380CC4-5D6E-409C-BE32-E72D297353CC}">
              <c16:uniqueId val="{00000003-45AF-407C-85CB-AFD8769AF71B}"/>
            </c:ext>
          </c:extLst>
        </c:ser>
        <c:ser>
          <c:idx val="4"/>
          <c:order val="4"/>
          <c:tx>
            <c:strRef>
              <c:f>'PS4.01_Ind01'!$B$19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'PS4.01_Ind01'!$G$19:$J$19</c:f>
              <c:numCache>
                <c:formatCode>0.00%</c:formatCode>
                <c:ptCount val="4"/>
                <c:pt idx="0">
                  <c:v>1</c:v>
                </c:pt>
                <c:pt idx="1">
                  <c:v>0</c:v>
                </c:pt>
                <c:pt idx="2">
                  <c:v>1.1000000000000001</c:v>
                </c:pt>
                <c:pt idx="3">
                  <c:v>1.1000000000000001</c:v>
                </c:pt>
              </c:numCache>
            </c:numRef>
          </c:val>
          <c:extLst>
            <c:ext xmlns:c16="http://schemas.microsoft.com/office/drawing/2014/chart" uri="{C3380CC4-5D6E-409C-BE32-E72D297353CC}">
              <c16:uniqueId val="{00000004-45AF-407C-85CB-AFD8769AF71B}"/>
            </c:ext>
          </c:extLst>
        </c:ser>
        <c:ser>
          <c:idx val="5"/>
          <c:order val="5"/>
          <c:tx>
            <c:strRef>
              <c:f>'PS4.01_Ind01'!$B$20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'PS4.01_Ind01'!$G$20:$J$20</c:f>
              <c:numCache>
                <c:formatCode>0.00%</c:formatCode>
                <c:ptCount val="4"/>
                <c:pt idx="0">
                  <c:v>1.05</c:v>
                </c:pt>
                <c:pt idx="1">
                  <c:v>0</c:v>
                </c:pt>
                <c:pt idx="2">
                  <c:v>1.05</c:v>
                </c:pt>
                <c:pt idx="3">
                  <c:v>1.1499999999999999</c:v>
                </c:pt>
              </c:numCache>
            </c:numRef>
          </c:val>
          <c:extLst>
            <c:ext xmlns:c16="http://schemas.microsoft.com/office/drawing/2014/chart" uri="{C3380CC4-5D6E-409C-BE32-E72D297353CC}">
              <c16:uniqueId val="{00000006-45AF-407C-85CB-AFD8769AF71B}"/>
            </c:ext>
          </c:extLst>
        </c:ser>
        <c:ser>
          <c:idx val="6"/>
          <c:order val="6"/>
          <c:tx>
            <c:strRef>
              <c:f>'PS4.01_Ind01'!$B$21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'PS4.01_Ind01'!$G$21:$J$21</c:f>
              <c:numCache>
                <c:formatCode>0.00%</c:formatCode>
                <c:ptCount val="4"/>
                <c:pt idx="0">
                  <c:v>1.04</c:v>
                </c:pt>
                <c:pt idx="1">
                  <c:v>0.67500000000000004</c:v>
                </c:pt>
                <c:pt idx="2">
                  <c:v>1</c:v>
                </c:pt>
                <c:pt idx="3">
                  <c:v>0.95</c:v>
                </c:pt>
              </c:numCache>
            </c:numRef>
          </c:val>
          <c:extLst>
            <c:ext xmlns:c16="http://schemas.microsoft.com/office/drawing/2014/chart" uri="{C3380CC4-5D6E-409C-BE32-E72D297353CC}">
              <c16:uniqueId val="{00000007-45AF-407C-85CB-AFD8769AF71B}"/>
            </c:ext>
          </c:extLst>
        </c:ser>
        <c:ser>
          <c:idx val="7"/>
          <c:order val="7"/>
          <c:tx>
            <c:strRef>
              <c:f>'PS4.01_Ind01'!$B$22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'PS4.01_Ind01'!$G$22:$J$22</c:f>
              <c:numCache>
                <c:formatCode>0.00%</c:formatCode>
                <c:ptCount val="4"/>
                <c:pt idx="0">
                  <c:v>1.23</c:v>
                </c:pt>
                <c:pt idx="1">
                  <c:v>1.075</c:v>
                </c:pt>
                <c:pt idx="2">
                  <c:v>1.05</c:v>
                </c:pt>
                <c:pt idx="3">
                  <c:v>1.075</c:v>
                </c:pt>
              </c:numCache>
            </c:numRef>
          </c:val>
          <c:extLst>
            <c:ext xmlns:c16="http://schemas.microsoft.com/office/drawing/2014/chart" uri="{C3380CC4-5D6E-409C-BE32-E72D297353CC}">
              <c16:uniqueId val="{00000008-45AF-407C-85CB-AFD8769AF71B}"/>
            </c:ext>
          </c:extLst>
        </c:ser>
        <c:ser>
          <c:idx val="8"/>
          <c:order val="8"/>
          <c:tx>
            <c:strRef>
              <c:f>'PS4.01_Ind01'!$B$23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'PS4.01_Ind01'!$G$23:$J$23</c:f>
              <c:numCache>
                <c:formatCode>0.00%</c:formatCode>
                <c:ptCount val="4"/>
                <c:pt idx="0">
                  <c:v>1.1499999999999999</c:v>
                </c:pt>
                <c:pt idx="1">
                  <c:v>1.133</c:v>
                </c:pt>
                <c:pt idx="2">
                  <c:v>1.05</c:v>
                </c:pt>
                <c:pt idx="3">
                  <c:v>1.1166</c:v>
                </c:pt>
              </c:numCache>
            </c:numRef>
          </c:val>
          <c:extLst>
            <c:ext xmlns:c16="http://schemas.microsoft.com/office/drawing/2014/chart" uri="{C3380CC4-5D6E-409C-BE32-E72D297353CC}">
              <c16:uniqueId val="{00000009-45AF-407C-85CB-AFD8769AF71B}"/>
            </c:ext>
          </c:extLst>
        </c:ser>
        <c:ser>
          <c:idx val="9"/>
          <c:order val="9"/>
          <c:tx>
            <c:strRef>
              <c:f>'PS4.01_Ind01'!$B$24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'PS4.01_Ind01'!$G$24:$J$24</c:f>
              <c:numCache>
                <c:formatCode>0.00%</c:formatCode>
                <c:ptCount val="4"/>
                <c:pt idx="0">
                  <c:v>1.1200000000000001</c:v>
                </c:pt>
                <c:pt idx="1">
                  <c:v>1</c:v>
                </c:pt>
                <c:pt idx="2">
                  <c:v>1</c:v>
                </c:pt>
                <c:pt idx="3">
                  <c:v>1.0154000000000001</c:v>
                </c:pt>
              </c:numCache>
            </c:numRef>
          </c:val>
          <c:extLst>
            <c:ext xmlns:c16="http://schemas.microsoft.com/office/drawing/2014/chart" uri="{C3380CC4-5D6E-409C-BE32-E72D297353CC}">
              <c16:uniqueId val="{0000000A-45AF-407C-85CB-AFD8769AF71B}"/>
            </c:ext>
          </c:extLst>
        </c:ser>
        <c:ser>
          <c:idx val="10"/>
          <c:order val="10"/>
          <c:tx>
            <c:strRef>
              <c:f>'PS4.01_Ind01'!$B$25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'PS4.01_Ind01'!$G$25:$J$25</c:f>
              <c:numCache>
                <c:formatCode>0.00%</c:formatCode>
                <c:ptCount val="4"/>
                <c:pt idx="0">
                  <c:v>1.1000000000000001</c:v>
                </c:pt>
                <c:pt idx="1">
                  <c:v>0.97499999999999998</c:v>
                </c:pt>
                <c:pt idx="2">
                  <c:v>0.99160000000000004</c:v>
                </c:pt>
                <c:pt idx="3">
                  <c:v>1.0083</c:v>
                </c:pt>
              </c:numCache>
            </c:numRef>
          </c:val>
          <c:extLst>
            <c:ext xmlns:c16="http://schemas.microsoft.com/office/drawing/2014/chart" uri="{C3380CC4-5D6E-409C-BE32-E72D297353CC}">
              <c16:uniqueId val="{0000000B-45AF-407C-85CB-AFD8769AF71B}"/>
            </c:ext>
          </c:extLst>
        </c:ser>
        <c:ser>
          <c:idx val="11"/>
          <c:order val="11"/>
          <c:tx>
            <c:strRef>
              <c:f>'PS4.01_Ind01'!$B$26</c:f>
              <c:strCache>
                <c:ptCount val="1"/>
                <c:pt idx="0">
                  <c:v>Estudis Interdisciplinaris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'PS4.01_Ind01'!$G$26:$J$26</c:f>
              <c:numCache>
                <c:formatCode>0.00%</c:formatCode>
                <c:ptCount val="4"/>
                <c:pt idx="0">
                  <c:v>1.1599999999999999</c:v>
                </c:pt>
                <c:pt idx="1">
                  <c:v>1.18</c:v>
                </c:pt>
                <c:pt idx="2">
                  <c:v>1.04</c:v>
                </c:pt>
                <c:pt idx="3">
                  <c:v>1.08</c:v>
                </c:pt>
              </c:numCache>
            </c:numRef>
          </c:val>
          <c:extLst>
            <c:ext xmlns:c16="http://schemas.microsoft.com/office/drawing/2014/chart" uri="{C3380CC4-5D6E-409C-BE32-E72D297353CC}">
              <c16:uniqueId val="{0000000C-45AF-407C-85CB-AFD8769AF71B}"/>
            </c:ext>
          </c:extLst>
        </c:ser>
        <c:ser>
          <c:idx val="12"/>
          <c:order val="12"/>
          <c:tx>
            <c:strRef>
              <c:f>'PS4.01_Ind01'!$B$27</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'PS4.01_Ind01'!$G$27:$J$27</c:f>
              <c:numCache>
                <c:formatCode>0.00%</c:formatCode>
                <c:ptCount val="4"/>
                <c:pt idx="0">
                  <c:v>0.96</c:v>
                </c:pt>
                <c:pt idx="1">
                  <c:v>1</c:v>
                </c:pt>
                <c:pt idx="2">
                  <c:v>1.04</c:v>
                </c:pt>
                <c:pt idx="3">
                  <c:v>0.8</c:v>
                </c:pt>
              </c:numCache>
            </c:numRef>
          </c:val>
          <c:extLst>
            <c:ext xmlns:c16="http://schemas.microsoft.com/office/drawing/2014/chart" uri="{C3380CC4-5D6E-409C-BE32-E72D297353CC}">
              <c16:uniqueId val="{0000000D-45AF-407C-85CB-AFD8769AF71B}"/>
            </c:ext>
          </c:extLst>
        </c:ser>
        <c:ser>
          <c:idx val="13"/>
          <c:order val="13"/>
          <c:tx>
            <c:strRef>
              <c:f>'PS4.01_Ind01'!$B$28</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'PS4.01_Ind01'!$G$28:$J$28</c:f>
              <c:numCache>
                <c:formatCode>0.00%</c:formatCode>
                <c:ptCount val="4"/>
                <c:pt idx="0">
                  <c:v>0.44</c:v>
                </c:pt>
                <c:pt idx="1">
                  <c:v>0.84</c:v>
                </c:pt>
                <c:pt idx="2">
                  <c:v>0.72</c:v>
                </c:pt>
                <c:pt idx="3">
                  <c:v>0.6</c:v>
                </c:pt>
              </c:numCache>
            </c:numRef>
          </c:val>
          <c:extLst>
            <c:ext xmlns:c16="http://schemas.microsoft.com/office/drawing/2014/chart" uri="{C3380CC4-5D6E-409C-BE32-E72D297353CC}">
              <c16:uniqueId val="{0000000E-45AF-407C-85CB-AFD8769AF71B}"/>
            </c:ext>
          </c:extLst>
        </c:ser>
        <c:ser>
          <c:idx val="14"/>
          <c:order val="14"/>
          <c:tx>
            <c:strRef>
              <c:f>'PS4.01_Ind01'!$B$29</c:f>
              <c:strCache>
                <c:ptCount val="1"/>
                <c:pt idx="0">
                  <c:v>Modelització per a la Ciència i l'Enginyeria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'PS4.01_Ind01'!$G$29:$J$29</c:f>
              <c:numCache>
                <c:formatCode>0.00%</c:formatCode>
                <c:ptCount val="4"/>
                <c:pt idx="0">
                  <c:v>1.2</c:v>
                </c:pt>
                <c:pt idx="1">
                  <c:v>1.1000000000000001</c:v>
                </c:pt>
                <c:pt idx="2">
                  <c:v>1.4</c:v>
                </c:pt>
                <c:pt idx="3">
                  <c:v>1.4665999999999999</c:v>
                </c:pt>
              </c:numCache>
            </c:numRef>
          </c:val>
          <c:extLst>
            <c:ext xmlns:c16="http://schemas.microsoft.com/office/drawing/2014/chart" uri="{C3380CC4-5D6E-409C-BE32-E72D297353CC}">
              <c16:uniqueId val="{0000000F-45AF-407C-85CB-AFD8769AF71B}"/>
            </c:ext>
          </c:extLst>
        </c:ser>
        <c:ser>
          <c:idx val="15"/>
          <c:order val="15"/>
          <c:tx>
            <c:strRef>
              <c:f>'PS4.01_Ind01'!$B$30</c:f>
              <c:strCache>
                <c:ptCount val="1"/>
                <c:pt idx="0">
                  <c:v>Nanociència i Nanotecnologia Avançades</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'PS4.01_Ind01'!$G$30:$J$30</c:f>
              <c:numCache>
                <c:formatCode>0.00%</c:formatCode>
                <c:ptCount val="4"/>
                <c:pt idx="0">
                  <c:v>0.47</c:v>
                </c:pt>
                <c:pt idx="1">
                  <c:v>0.6</c:v>
                </c:pt>
                <c:pt idx="2">
                  <c:v>0.4</c:v>
                </c:pt>
                <c:pt idx="3">
                  <c:v>0.6</c:v>
                </c:pt>
              </c:numCache>
            </c:numRef>
          </c:val>
          <c:extLst>
            <c:ext xmlns:c16="http://schemas.microsoft.com/office/drawing/2014/chart" uri="{C3380CC4-5D6E-409C-BE32-E72D297353CC}">
              <c16:uniqueId val="{00000010-45AF-407C-85CB-AFD8769AF71B}"/>
            </c:ext>
          </c:extLst>
        </c:ser>
        <c:ser>
          <c:idx val="16"/>
          <c:order val="16"/>
          <c:tx>
            <c:strRef>
              <c:f>'PS4.01_Ind01'!$B$31</c:f>
              <c:strCache>
                <c:ptCount val="1"/>
                <c:pt idx="0">
                  <c:v>Paleobiologia i Registre Fòssil</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'PS4.01_Ind01'!$G$31:$J$31</c:f>
              <c:numCache>
                <c:formatCode>0.00%</c:formatCode>
                <c:ptCount val="4"/>
                <c:pt idx="0">
                  <c:v>0.24</c:v>
                </c:pt>
                <c:pt idx="1">
                  <c:v>0</c:v>
                </c:pt>
                <c:pt idx="2">
                  <c:v>0.48</c:v>
                </c:pt>
                <c:pt idx="3">
                  <c:v>0.6</c:v>
                </c:pt>
              </c:numCache>
            </c:numRef>
          </c:val>
          <c:extLst>
            <c:ext xmlns:c16="http://schemas.microsoft.com/office/drawing/2014/chart" uri="{C3380CC4-5D6E-409C-BE32-E72D297353CC}">
              <c16:uniqueId val="{00000011-45AF-407C-85CB-AFD8769AF71B}"/>
            </c:ext>
          </c:extLst>
        </c:ser>
        <c:ser>
          <c:idx val="17"/>
          <c:order val="17"/>
          <c:tx>
            <c:strRef>
              <c:f>'PS4.01_Ind01'!$B$32</c:f>
              <c:strCache>
                <c:ptCount val="1"/>
                <c:pt idx="0">
                  <c:v> Química Industrial i Introducció a la Recerca de la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'PS4.01_Ind01'!$G$32:$J$32</c:f>
              <c:numCache>
                <c:formatCode>0.00%</c:formatCode>
                <c:ptCount val="4"/>
                <c:pt idx="0">
                  <c:v>0.82</c:v>
                </c:pt>
                <c:pt idx="1">
                  <c:v>0.8</c:v>
                </c:pt>
                <c:pt idx="2">
                  <c:v>0.86660000000000004</c:v>
                </c:pt>
                <c:pt idx="3">
                  <c:v>0.95550000000000002</c:v>
                </c:pt>
              </c:numCache>
            </c:numRef>
          </c:val>
          <c:extLst>
            <c:ext xmlns:c16="http://schemas.microsoft.com/office/drawing/2014/chart" uri="{C3380CC4-5D6E-409C-BE32-E72D297353CC}">
              <c16:uniqueId val="{00000012-45AF-407C-85CB-AFD8769AF71B}"/>
            </c:ext>
          </c:extLst>
        </c:ser>
        <c:dLbls>
          <c:showLegendKey val="0"/>
          <c:showVal val="0"/>
          <c:showCatName val="0"/>
          <c:showSerName val="0"/>
          <c:showPercent val="0"/>
          <c:showBubbleSize val="0"/>
        </c:dLbls>
        <c:gapWidth val="100"/>
        <c:axId val="1373868240"/>
        <c:axId val="1496622160"/>
      </c:barChart>
      <c:lineChart>
        <c:grouping val="standard"/>
        <c:varyColors val="0"/>
        <c:ser>
          <c:idx val="18"/>
          <c:order val="18"/>
          <c:tx>
            <c:strRef>
              <c:f>'PS4.01_Ind01'!$B$35</c:f>
              <c:strCache>
                <c:ptCount val="1"/>
                <c:pt idx="0">
                  <c:v>Objectiu </c:v>
                </c:pt>
              </c:strCache>
            </c:strRef>
          </c:tx>
          <c:spPr>
            <a:ln w="34925" cap="rnd">
              <a:solidFill>
                <a:schemeClr val="accent1">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w="9525">
                <a:solidFill>
                  <a:schemeClr val="accent1">
                    <a:lumMod val="80000"/>
                  </a:schemeClr>
                </a:solidFill>
                <a:round/>
              </a:ln>
              <a:effectLst>
                <a:outerShdw blurRad="57150" dist="19050" dir="5400000" algn="ctr" rotWithShape="0">
                  <a:srgbClr val="000000">
                    <a:alpha val="63000"/>
                  </a:srgbClr>
                </a:outerShdw>
              </a:effectLst>
            </c:spPr>
          </c:marker>
          <c:val>
            <c:numRef>
              <c:f>'PS4.01_Ind01'!$G$35:$J$35</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13-45AF-407C-85CB-AFD8769AF71B}"/>
            </c:ext>
          </c:extLst>
        </c:ser>
        <c:dLbls>
          <c:showLegendKey val="0"/>
          <c:showVal val="0"/>
          <c:showCatName val="0"/>
          <c:showSerName val="0"/>
          <c:showPercent val="0"/>
          <c:showBubbleSize val="0"/>
        </c:dLbls>
        <c:marker val="1"/>
        <c:smooth val="0"/>
        <c:axId val="1373868240"/>
        <c:axId val="1496622160"/>
      </c:lineChart>
      <c:catAx>
        <c:axId val="13738682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96622160"/>
        <c:crosses val="autoZero"/>
        <c:auto val="1"/>
        <c:lblAlgn val="ctr"/>
        <c:lblOffset val="100"/>
        <c:noMultiLvlLbl val="0"/>
      </c:catAx>
      <c:valAx>
        <c:axId val="149662216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738682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PS4.02_Ind02. Valoració mitjana de la pregunta “Els serveis de suport a l’estudiant (informació, matriculació, tràmits acadèmics, beques, orientació, etc.) m’han ofert un bon assessorament i atenció”</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'PS4.01_Ind02'!$B$17</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'PS4.01_Ind02'!$F$17:$I$17</c:f>
              <c:numCache>
                <c:formatCode>0.00</c:formatCode>
                <c:ptCount val="4"/>
                <c:pt idx="0">
                  <c:v>3.75</c:v>
                </c:pt>
                <c:pt idx="1">
                  <c:v>3.8</c:v>
                </c:pt>
                <c:pt idx="2">
                  <c:v>3.76</c:v>
                </c:pt>
                <c:pt idx="3">
                  <c:v>3.46</c:v>
                </c:pt>
              </c:numCache>
            </c:numRef>
          </c:val>
          <c:extLst>
            <c:ext xmlns:c16="http://schemas.microsoft.com/office/drawing/2014/chart" uri="{C3380CC4-5D6E-409C-BE32-E72D297353CC}">
              <c16:uniqueId val="{00000004-0364-4F13-AE3B-B4A6DDF47A70}"/>
            </c:ext>
          </c:extLst>
        </c:ser>
        <c:ser>
          <c:idx val="1"/>
          <c:order val="1"/>
          <c:tx>
            <c:strRef>
              <c:f>'PS4.01_Ind02'!$B$18</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'PS4.01_Ind02'!$F$18:$I$18</c:f>
              <c:numCache>
                <c:formatCode>0.00</c:formatCode>
                <c:ptCount val="4"/>
                <c:pt idx="0">
                  <c:v>3</c:v>
                </c:pt>
                <c:pt idx="1">
                  <c:v>2</c:v>
                </c:pt>
                <c:pt idx="2">
                  <c:v>2.86</c:v>
                </c:pt>
                <c:pt idx="3">
                  <c:v>2.83</c:v>
                </c:pt>
              </c:numCache>
            </c:numRef>
          </c:val>
          <c:extLst>
            <c:ext xmlns:c16="http://schemas.microsoft.com/office/drawing/2014/chart" uri="{C3380CC4-5D6E-409C-BE32-E72D297353CC}">
              <c16:uniqueId val="{00000005-0364-4F13-AE3B-B4A6DDF47A70}"/>
            </c:ext>
          </c:extLst>
        </c:ser>
        <c:ser>
          <c:idx val="2"/>
          <c:order val="2"/>
          <c:tx>
            <c:strRef>
              <c:f>'PS4.01_Ind02'!$B$19</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'PS4.01_Ind02'!$F$19:$I$19</c:f>
              <c:numCache>
                <c:formatCode>0.00</c:formatCode>
                <c:ptCount val="4"/>
                <c:pt idx="0">
                  <c:v>3.83</c:v>
                </c:pt>
                <c:pt idx="1">
                  <c:v>3</c:v>
                </c:pt>
                <c:pt idx="2">
                  <c:v>4.17</c:v>
                </c:pt>
                <c:pt idx="3">
                  <c:v>3.67</c:v>
                </c:pt>
              </c:numCache>
            </c:numRef>
          </c:val>
          <c:extLst>
            <c:ext xmlns:c16="http://schemas.microsoft.com/office/drawing/2014/chart" uri="{C3380CC4-5D6E-409C-BE32-E72D297353CC}">
              <c16:uniqueId val="{00000006-0364-4F13-AE3B-B4A6DDF47A70}"/>
            </c:ext>
          </c:extLst>
        </c:ser>
        <c:ser>
          <c:idx val="3"/>
          <c:order val="3"/>
          <c:tx>
            <c:strRef>
              <c:f>'PS4.01_Ind02'!$B$20</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'PS4.01_Ind02'!$F$20:$I$20</c:f>
              <c:numCache>
                <c:formatCode>0.00</c:formatCode>
                <c:ptCount val="4"/>
                <c:pt idx="0">
                  <c:v>3.92</c:v>
                </c:pt>
                <c:pt idx="1">
                  <c:v>2.17</c:v>
                </c:pt>
                <c:pt idx="2">
                  <c:v>3.52</c:v>
                </c:pt>
                <c:pt idx="3">
                  <c:v>3.6</c:v>
                </c:pt>
              </c:numCache>
            </c:numRef>
          </c:val>
          <c:extLst>
            <c:ext xmlns:c16="http://schemas.microsoft.com/office/drawing/2014/chart" uri="{C3380CC4-5D6E-409C-BE32-E72D297353CC}">
              <c16:uniqueId val="{00000007-0364-4F13-AE3B-B4A6DDF47A70}"/>
            </c:ext>
          </c:extLst>
        </c:ser>
        <c:ser>
          <c:idx val="4"/>
          <c:order val="4"/>
          <c:tx>
            <c:strRef>
              <c:f>'PS4.01_Ind02'!$B$21</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'PS4.01_Ind02'!$F$21:$I$21</c:f>
              <c:numCache>
                <c:formatCode>0.00</c:formatCode>
                <c:ptCount val="4"/>
                <c:pt idx="0">
                  <c:v>0</c:v>
                </c:pt>
                <c:pt idx="1">
                  <c:v>4</c:v>
                </c:pt>
                <c:pt idx="2">
                  <c:v>3.56</c:v>
                </c:pt>
                <c:pt idx="3">
                  <c:v>3.57</c:v>
                </c:pt>
              </c:numCache>
            </c:numRef>
          </c:val>
          <c:extLst>
            <c:ext xmlns:c16="http://schemas.microsoft.com/office/drawing/2014/chart" uri="{C3380CC4-5D6E-409C-BE32-E72D297353CC}">
              <c16:uniqueId val="{00000008-0364-4F13-AE3B-B4A6DDF47A70}"/>
            </c:ext>
          </c:extLst>
        </c:ser>
        <c:ser>
          <c:idx val="5"/>
          <c:order val="5"/>
          <c:tx>
            <c:strRef>
              <c:f>'PS4.01_Ind02'!$B$22</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'PS4.01_Ind02'!$F$22:$I$22</c:f>
              <c:numCache>
                <c:formatCode>0.00</c:formatCode>
                <c:ptCount val="4"/>
                <c:pt idx="0">
                  <c:v>0</c:v>
                </c:pt>
                <c:pt idx="1">
                  <c:v>3.5</c:v>
                </c:pt>
                <c:pt idx="2">
                  <c:v>4</c:v>
                </c:pt>
                <c:pt idx="3">
                  <c:v>3.5</c:v>
                </c:pt>
              </c:numCache>
            </c:numRef>
          </c:val>
          <c:extLst>
            <c:ext xmlns:c16="http://schemas.microsoft.com/office/drawing/2014/chart" uri="{C3380CC4-5D6E-409C-BE32-E72D297353CC}">
              <c16:uniqueId val="{00000009-0364-4F13-AE3B-B4A6DDF47A70}"/>
            </c:ext>
          </c:extLst>
        </c:ser>
        <c:ser>
          <c:idx val="6"/>
          <c:order val="6"/>
          <c:tx>
            <c:strRef>
              <c:f>'PS4.01_Ind02'!$B$23</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'PS4.01_Ind02'!$F$23:$I$23</c:f>
              <c:numCache>
                <c:formatCode>0.00</c:formatCode>
                <c:ptCount val="4"/>
                <c:pt idx="0">
                  <c:v>0</c:v>
                </c:pt>
                <c:pt idx="1">
                  <c:v>0</c:v>
                </c:pt>
                <c:pt idx="2">
                  <c:v>3.71</c:v>
                </c:pt>
                <c:pt idx="3">
                  <c:v>0</c:v>
                </c:pt>
              </c:numCache>
            </c:numRef>
          </c:val>
          <c:extLst>
            <c:ext xmlns:c16="http://schemas.microsoft.com/office/drawing/2014/chart" uri="{C3380CC4-5D6E-409C-BE32-E72D297353CC}">
              <c16:uniqueId val="{0000000A-0364-4F13-AE3B-B4A6DDF47A70}"/>
            </c:ext>
          </c:extLst>
        </c:ser>
        <c:ser>
          <c:idx val="7"/>
          <c:order val="7"/>
          <c:tx>
            <c:strRef>
              <c:f>'PS4.01_Ind02'!$B$24</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'PS4.01_Ind02'!$F$24:$I$24</c:f>
              <c:numCache>
                <c:formatCode>0.00</c:formatCode>
                <c:ptCount val="4"/>
                <c:pt idx="0">
                  <c:v>0</c:v>
                </c:pt>
                <c:pt idx="1">
                  <c:v>0</c:v>
                </c:pt>
                <c:pt idx="2">
                  <c:v>4.17</c:v>
                </c:pt>
                <c:pt idx="3">
                  <c:v>3.92</c:v>
                </c:pt>
              </c:numCache>
            </c:numRef>
          </c:val>
          <c:extLst>
            <c:ext xmlns:c16="http://schemas.microsoft.com/office/drawing/2014/chart" uri="{C3380CC4-5D6E-409C-BE32-E72D297353CC}">
              <c16:uniqueId val="{0000000B-0364-4F13-AE3B-B4A6DDF47A70}"/>
            </c:ext>
          </c:extLst>
        </c:ser>
        <c:ser>
          <c:idx val="8"/>
          <c:order val="8"/>
          <c:tx>
            <c:strRef>
              <c:f>'PS4.01_Ind02'!$B$25</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'PS4.01_Ind02'!$F$25:$I$25</c:f>
              <c:numCache>
                <c:formatCode>0.00</c:formatCode>
                <c:ptCount val="4"/>
                <c:pt idx="0">
                  <c:v>3.36</c:v>
                </c:pt>
                <c:pt idx="1">
                  <c:v>4</c:v>
                </c:pt>
                <c:pt idx="2">
                  <c:v>3.87</c:v>
                </c:pt>
                <c:pt idx="3">
                  <c:v>3.43</c:v>
                </c:pt>
              </c:numCache>
            </c:numRef>
          </c:val>
          <c:extLst>
            <c:ext xmlns:c16="http://schemas.microsoft.com/office/drawing/2014/chart" uri="{C3380CC4-5D6E-409C-BE32-E72D297353CC}">
              <c16:uniqueId val="{0000000C-0364-4F13-AE3B-B4A6DDF47A70}"/>
            </c:ext>
          </c:extLst>
        </c:ser>
        <c:ser>
          <c:idx val="9"/>
          <c:order val="9"/>
          <c:tx>
            <c:strRef>
              <c:f>'PS4.01_Ind02'!$B$26</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'PS4.01_Ind02'!$F$26:$I$26</c:f>
              <c:numCache>
                <c:formatCode>0.00</c:formatCode>
                <c:ptCount val="4"/>
                <c:pt idx="0">
                  <c:v>3.4</c:v>
                </c:pt>
                <c:pt idx="1">
                  <c:v>4</c:v>
                </c:pt>
                <c:pt idx="2">
                  <c:v>3.82</c:v>
                </c:pt>
                <c:pt idx="3">
                  <c:v>2.93</c:v>
                </c:pt>
              </c:numCache>
            </c:numRef>
          </c:val>
          <c:extLst>
            <c:ext xmlns:c16="http://schemas.microsoft.com/office/drawing/2014/chart" uri="{C3380CC4-5D6E-409C-BE32-E72D297353CC}">
              <c16:uniqueId val="{0000000D-0364-4F13-AE3B-B4A6DDF47A70}"/>
            </c:ext>
          </c:extLst>
        </c:ser>
        <c:ser>
          <c:idx val="10"/>
          <c:order val="10"/>
          <c:tx>
            <c:strRef>
              <c:f>'PS4.01_Ind02'!$B$27</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'PS4.01_Ind02'!$F$27:$I$27</c:f>
              <c:numCache>
                <c:formatCode>0.00</c:formatCode>
                <c:ptCount val="4"/>
                <c:pt idx="0">
                  <c:v>3.08</c:v>
                </c:pt>
                <c:pt idx="1">
                  <c:v>4.25</c:v>
                </c:pt>
                <c:pt idx="2">
                  <c:v>3.58</c:v>
                </c:pt>
                <c:pt idx="3">
                  <c:v>3.59</c:v>
                </c:pt>
              </c:numCache>
            </c:numRef>
          </c:val>
          <c:extLst>
            <c:ext xmlns:c16="http://schemas.microsoft.com/office/drawing/2014/chart" uri="{C3380CC4-5D6E-409C-BE32-E72D297353CC}">
              <c16:uniqueId val="{0000000E-0364-4F13-AE3B-B4A6DDF47A70}"/>
            </c:ext>
          </c:extLst>
        </c:ser>
        <c:dLbls>
          <c:showLegendKey val="0"/>
          <c:showVal val="0"/>
          <c:showCatName val="0"/>
          <c:showSerName val="0"/>
          <c:showPercent val="0"/>
          <c:showBubbleSize val="0"/>
        </c:dLbls>
        <c:gapWidth val="100"/>
        <c:axId val="1331709984"/>
        <c:axId val="1770293728"/>
      </c:barChart>
      <c:lineChart>
        <c:grouping val="standard"/>
        <c:varyColors val="0"/>
        <c:ser>
          <c:idx val="11"/>
          <c:order val="11"/>
          <c:tx>
            <c:strRef>
              <c:f>'PS4.01_Ind02'!$B$30</c:f>
              <c:strCache>
                <c:ptCount val="1"/>
                <c:pt idx="0">
                  <c:v>Valor objectiu </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9525">
                <a:solidFill>
                  <a:schemeClr val="accent6">
                    <a:lumMod val="60000"/>
                  </a:schemeClr>
                </a:solidFill>
                <a:round/>
              </a:ln>
              <a:effectLst>
                <a:outerShdw blurRad="57150" dist="19050" dir="5400000" algn="ctr" rotWithShape="0">
                  <a:srgbClr val="000000">
                    <a:alpha val="63000"/>
                  </a:srgbClr>
                </a:outerShdw>
              </a:effectLst>
            </c:spPr>
          </c:marker>
          <c:val>
            <c:numRef>
              <c:f>'PS4.01_Ind02'!$F$30:$I$30</c:f>
              <c:numCache>
                <c:formatCode>0.00</c:formatCode>
                <c:ptCount val="4"/>
                <c:pt idx="0">
                  <c:v>3</c:v>
                </c:pt>
                <c:pt idx="1">
                  <c:v>3</c:v>
                </c:pt>
                <c:pt idx="2">
                  <c:v>3</c:v>
                </c:pt>
                <c:pt idx="3">
                  <c:v>3</c:v>
                </c:pt>
              </c:numCache>
            </c:numRef>
          </c:val>
          <c:smooth val="0"/>
          <c:extLst>
            <c:ext xmlns:c16="http://schemas.microsoft.com/office/drawing/2014/chart" uri="{C3380CC4-5D6E-409C-BE32-E72D297353CC}">
              <c16:uniqueId val="{0000000F-0364-4F13-AE3B-B4A6DDF47A70}"/>
            </c:ext>
          </c:extLst>
        </c:ser>
        <c:dLbls>
          <c:showLegendKey val="0"/>
          <c:showVal val="0"/>
          <c:showCatName val="0"/>
          <c:showSerName val="0"/>
          <c:showPercent val="0"/>
          <c:showBubbleSize val="0"/>
        </c:dLbls>
        <c:marker val="1"/>
        <c:smooth val="0"/>
        <c:axId val="1331709984"/>
        <c:axId val="1770293728"/>
      </c:lineChart>
      <c:catAx>
        <c:axId val="13317099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70293728"/>
        <c:crosses val="autoZero"/>
        <c:auto val="1"/>
        <c:lblAlgn val="ctr"/>
        <c:lblOffset val="100"/>
        <c:noMultiLvlLbl val="0"/>
      </c:catAx>
      <c:valAx>
        <c:axId val="1770293728"/>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3170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PS4.02_Ind01. Percentatge de Taules de Mesures Correctores (TMC) retornades respecte de les TMC emeses</a:t>
            </a:r>
            <a:endParaRPr lang="ca-ES" sz="1200">
              <a:effectLst/>
            </a:endParaRPr>
          </a:p>
        </c:rich>
      </c:tx>
      <c:layout>
        <c:manualLayout>
          <c:xMode val="edge"/>
          <c:yMode val="edge"/>
          <c:x val="0.37929855643044619"/>
          <c:y val="2.777777777777777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'PS4.02_Ind01'!$C$16</c:f>
              <c:strCache>
                <c:ptCount val="1"/>
                <c:pt idx="0">
                  <c:v>% Compliment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'PS4.02_Ind01'!$D$13:$J$13</c:f>
              <c:strCache>
                <c:ptCount val="7"/>
                <c:pt idx="0">
                  <c:v>2017/2018</c:v>
                </c:pt>
                <c:pt idx="1">
                  <c:v>2018/2019</c:v>
                </c:pt>
                <c:pt idx="2">
                  <c:v>2019/2020</c:v>
                </c:pt>
                <c:pt idx="3">
                  <c:v>2020/2021</c:v>
                </c:pt>
                <c:pt idx="4">
                  <c:v>2021/2022</c:v>
                </c:pt>
                <c:pt idx="5">
                  <c:v>2022/2023</c:v>
                </c:pt>
                <c:pt idx="6">
                  <c:v>2023/2024</c:v>
                </c:pt>
              </c:strCache>
            </c:strRef>
          </c:cat>
          <c:val>
            <c:numRef>
              <c:f>'PS4.02_Ind01'!$D$16:$J$16</c:f>
              <c:numCache>
                <c:formatCode>0.00%</c:formatCode>
                <c:ptCount val="7"/>
                <c:pt idx="0">
                  <c:v>0.83333333333333337</c:v>
                </c:pt>
                <c:pt idx="1">
                  <c:v>1</c:v>
                </c:pt>
                <c:pt idx="2">
                  <c:v>1</c:v>
                </c:pt>
                <c:pt idx="3">
                  <c:v>1</c:v>
                </c:pt>
                <c:pt idx="4">
                  <c:v>0.8571428571428571</c:v>
                </c:pt>
                <c:pt idx="5">
                  <c:v>1</c:v>
                </c:pt>
                <c:pt idx="6" formatCode="0%">
                  <c:v>1</c:v>
                </c:pt>
              </c:numCache>
            </c:numRef>
          </c:val>
          <c:extLst>
            <c:ext xmlns:c16="http://schemas.microsoft.com/office/drawing/2014/chart" uri="{C3380CC4-5D6E-409C-BE32-E72D297353CC}">
              <c16:uniqueId val="{00000000-2959-4130-8022-4B36DF393BF0}"/>
            </c:ext>
          </c:extLst>
        </c:ser>
        <c:dLbls>
          <c:showLegendKey val="0"/>
          <c:showVal val="0"/>
          <c:showCatName val="0"/>
          <c:showSerName val="0"/>
          <c:showPercent val="0"/>
          <c:showBubbleSize val="0"/>
        </c:dLbls>
        <c:gapWidth val="219"/>
        <c:axId val="1201734704"/>
        <c:axId val="1259628368"/>
      </c:barChart>
      <c:lineChart>
        <c:grouping val="standard"/>
        <c:varyColors val="0"/>
        <c:ser>
          <c:idx val="1"/>
          <c:order val="1"/>
          <c:tx>
            <c:strRef>
              <c:f>'PS4.02_Ind01'!$C$17</c:f>
              <c:strCache>
                <c:ptCount val="1"/>
                <c:pt idx="0">
                  <c:v>Valor</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'PS4.02_Ind01'!$D$13:$J$13</c:f>
              <c:strCache>
                <c:ptCount val="7"/>
                <c:pt idx="0">
                  <c:v>2017/2018</c:v>
                </c:pt>
                <c:pt idx="1">
                  <c:v>2018/2019</c:v>
                </c:pt>
                <c:pt idx="2">
                  <c:v>2019/2020</c:v>
                </c:pt>
                <c:pt idx="3">
                  <c:v>2020/2021</c:v>
                </c:pt>
                <c:pt idx="4">
                  <c:v>2021/2022</c:v>
                </c:pt>
                <c:pt idx="5">
                  <c:v>2022/2023</c:v>
                </c:pt>
                <c:pt idx="6">
                  <c:v>2023/2024</c:v>
                </c:pt>
              </c:strCache>
            </c:strRef>
          </c:cat>
          <c:val>
            <c:numRef>
              <c:f>'PS4.02_Ind01'!$D$17:$J$17</c:f>
              <c:numCache>
                <c:formatCode>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1-2959-4130-8022-4B36DF393BF0}"/>
            </c:ext>
          </c:extLst>
        </c:ser>
        <c:dLbls>
          <c:showLegendKey val="0"/>
          <c:showVal val="0"/>
          <c:showCatName val="0"/>
          <c:showSerName val="0"/>
          <c:showPercent val="0"/>
          <c:showBubbleSize val="0"/>
        </c:dLbls>
        <c:marker val="1"/>
        <c:smooth val="0"/>
        <c:axId val="1201734704"/>
        <c:axId val="1259628368"/>
      </c:lineChart>
      <c:catAx>
        <c:axId val="12017347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59628368"/>
        <c:crosses val="autoZero"/>
        <c:auto val="1"/>
        <c:lblAlgn val="ctr"/>
        <c:lblOffset val="100"/>
        <c:noMultiLvlLbl val="0"/>
      </c:catAx>
      <c:valAx>
        <c:axId val="1259628368"/>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01734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PS4.02_Ind02. Nombre d’informes d’avaluació retornats respecte del total rebuts</a:t>
            </a:r>
            <a:endParaRPr lang="ca-ES" sz="1200">
              <a:effectLst/>
            </a:endParaRPr>
          </a:p>
        </c:rich>
      </c:tx>
      <c:overlay val="0"/>
      <c:spPr>
        <a:noFill/>
        <a:ln>
          <a:noFill/>
        </a:ln>
        <a:effectLst/>
      </c:spPr>
    </c:title>
    <c:autoTitleDeleted val="0"/>
    <c:plotArea>
      <c:layout/>
      <c:barChart>
        <c:barDir val="col"/>
        <c:grouping val="clustered"/>
        <c:varyColors val="1"/>
        <c:ser>
          <c:idx val="0"/>
          <c:order val="0"/>
          <c:invertIfNegative val="1"/>
          <c:cat>
            <c:strRef>
              <c:f>'PS4.02_Ind02'!$D$13:$I$13</c:f>
              <c:strCache>
                <c:ptCount val="6"/>
                <c:pt idx="0">
                  <c:v>2018/2019</c:v>
                </c:pt>
                <c:pt idx="1">
                  <c:v>2019/2020</c:v>
                </c:pt>
                <c:pt idx="2">
                  <c:v>2020/2021</c:v>
                </c:pt>
                <c:pt idx="3">
                  <c:v>2021/2022</c:v>
                </c:pt>
                <c:pt idx="4">
                  <c:v>2022/2023</c:v>
                </c:pt>
                <c:pt idx="5">
                  <c:v>2023/2024</c:v>
                </c:pt>
              </c:strCache>
            </c:strRef>
          </c:cat>
          <c:val>
            <c:numRef>
              <c:f>'PS4.02_Ind02'!$D$16:$I$16</c:f>
              <c:numCache>
                <c:formatCode>0.00%</c:formatCode>
                <c:ptCount val="6"/>
                <c:pt idx="0">
                  <c:v>1</c:v>
                </c:pt>
                <c:pt idx="1">
                  <c:v>1</c:v>
                </c:pt>
                <c:pt idx="2">
                  <c:v>1</c:v>
                </c:pt>
                <c:pt idx="3">
                  <c:v>0.8</c:v>
                </c:pt>
                <c:pt idx="4">
                  <c:v>1</c:v>
                </c:pt>
                <c:pt idx="5">
                  <c:v>1</c:v>
                </c:pt>
              </c:numCache>
            </c:numRef>
          </c:val>
          <c:extLst>
            <c:ext xmlns:c16="http://schemas.microsoft.com/office/drawing/2014/chart" uri="{C3380CC4-5D6E-409C-BE32-E72D297353CC}">
              <c16:uniqueId val="{00000000-6D38-447F-A39C-71D290EEE5DE}"/>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1"/>
          <c:tx>
            <c:strRef>
              <c:f>'PS4.02_Ind02'!$C$17</c:f>
              <c:strCache>
                <c:ptCount val="1"/>
                <c:pt idx="0">
                  <c:v>VALOR</c:v>
                </c:pt>
              </c:strCache>
            </c:strRef>
          </c:tx>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'PS4.02_Ind02'!$D$13:$I$13</c:f>
              <c:strCache>
                <c:ptCount val="6"/>
                <c:pt idx="0">
                  <c:v>2018/2019</c:v>
                </c:pt>
                <c:pt idx="1">
                  <c:v>2019/2020</c:v>
                </c:pt>
                <c:pt idx="2">
                  <c:v>2020/2021</c:v>
                </c:pt>
                <c:pt idx="3">
                  <c:v>2021/2022</c:v>
                </c:pt>
                <c:pt idx="4">
                  <c:v>2022/2023</c:v>
                </c:pt>
                <c:pt idx="5">
                  <c:v>2023/2024</c:v>
                </c:pt>
              </c:strCache>
            </c:strRef>
          </c:cat>
          <c:val>
            <c:numRef>
              <c:f>'PS4.02_Ind02'!$D$17:$I$17</c:f>
              <c:numCache>
                <c:formatCode>0%</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00-602C-4F8A-92E8-A055F99EB844}"/>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200" b="1" i="0" u="none" strike="noStrike" baseline="0">
                <a:effectLst>
                  <a:outerShdw blurRad="50800" dist="38100" dir="5400000" algn="t" rotWithShape="0">
                    <a:prstClr val="black">
                      <a:alpha val="40000"/>
                    </a:prstClr>
                  </a:outerShdw>
                </a:effectLst>
              </a:rPr>
              <a:t>PE1.02_Ind01. Percentatge de processos modificats a cada revisió </a:t>
            </a:r>
            <a:endParaRPr lang="ca-ES" sz="105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6.7429008559859657E-2"/>
          <c:y val="0.13179352580927381"/>
          <c:w val="0.9191706564317651"/>
          <c:h val="0.69694125953554054"/>
        </c:manualLayout>
      </c:layout>
      <c:barChart>
        <c:barDir val="col"/>
        <c:grouping val="clustered"/>
        <c:varyColors val="0"/>
        <c:ser>
          <c:idx val="0"/>
          <c:order val="0"/>
          <c:tx>
            <c:strRef>
              <c:f>'PE1.02_Ind01'!$B$14:$C$14</c:f>
              <c:strCache>
                <c:ptCount val="2"/>
                <c:pt idx="0">
                  <c:v>Valor real</c:v>
                </c:pt>
              </c:strCache>
            </c:strRef>
          </c:tx>
          <c:spPr>
            <a:solidFill>
              <a:schemeClr val="accent1"/>
            </a:solidFill>
            <a:ln>
              <a:noFill/>
            </a:ln>
            <a:effectLst>
              <a:outerShdw blurRad="57150" dist="19050" dir="5400000" algn="ctr" rotWithShape="0">
                <a:srgbClr val="000000">
                  <a:alpha val="63000"/>
                </a:srgbClr>
              </a:outerShdw>
            </a:effectLst>
          </c:spPr>
          <c:invertIfNegative val="0"/>
          <c:cat>
            <c:strRef>
              <c:f>'PE1.02_Ind01'!$D$13:$H$13</c:f>
              <c:strCache>
                <c:ptCount val="5"/>
                <c:pt idx="0">
                  <c:v>2019/2020</c:v>
                </c:pt>
                <c:pt idx="1">
                  <c:v>2020/2021</c:v>
                </c:pt>
                <c:pt idx="2">
                  <c:v>2021/2022</c:v>
                </c:pt>
                <c:pt idx="3">
                  <c:v>2022/2023</c:v>
                </c:pt>
                <c:pt idx="4">
                  <c:v>2023/2024</c:v>
                </c:pt>
              </c:strCache>
            </c:strRef>
          </c:cat>
          <c:val>
            <c:numRef>
              <c:f>'PE1.02_Ind01'!$D$14:$H$14</c:f>
              <c:numCache>
                <c:formatCode>0%</c:formatCode>
                <c:ptCount val="5"/>
                <c:pt idx="0" formatCode="0.00%">
                  <c:v>0.96299999999999997</c:v>
                </c:pt>
                <c:pt idx="1">
                  <c:v>1</c:v>
                </c:pt>
                <c:pt idx="2" formatCode="0.00%">
                  <c:v>1</c:v>
                </c:pt>
                <c:pt idx="3">
                  <c:v>1</c:v>
                </c:pt>
                <c:pt idx="4">
                  <c:v>1</c:v>
                </c:pt>
              </c:numCache>
            </c:numRef>
          </c:val>
          <c:extLst>
            <c:ext xmlns:c16="http://schemas.microsoft.com/office/drawing/2014/chart" uri="{C3380CC4-5D6E-409C-BE32-E72D297353CC}">
              <c16:uniqueId val="{00000000-CCC0-4527-A456-CA98A1B1F8E6}"/>
            </c:ext>
          </c:extLst>
        </c:ser>
        <c:dLbls>
          <c:showLegendKey val="0"/>
          <c:showVal val="0"/>
          <c:showCatName val="0"/>
          <c:showSerName val="0"/>
          <c:showPercent val="0"/>
          <c:showBubbleSize val="0"/>
        </c:dLbls>
        <c:gapWidth val="219"/>
        <c:axId val="1499502592"/>
        <c:axId val="1289896992"/>
      </c:barChart>
      <c:lineChart>
        <c:grouping val="standard"/>
        <c:varyColors val="0"/>
        <c:ser>
          <c:idx val="1"/>
          <c:order val="1"/>
          <c:tx>
            <c:strRef>
              <c:f>'PE1.02_Ind01'!$B$15:$C$15</c:f>
              <c:strCache>
                <c:ptCount val="2"/>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cat>
            <c:strRef>
              <c:f>'PE1.02_Ind01'!$D$13:$H$13</c:f>
              <c:strCache>
                <c:ptCount val="5"/>
                <c:pt idx="0">
                  <c:v>2019/2020</c:v>
                </c:pt>
                <c:pt idx="1">
                  <c:v>2020/2021</c:v>
                </c:pt>
                <c:pt idx="2">
                  <c:v>2021/2022</c:v>
                </c:pt>
                <c:pt idx="3">
                  <c:v>2022/2023</c:v>
                </c:pt>
                <c:pt idx="4">
                  <c:v>2023/2024</c:v>
                </c:pt>
              </c:strCache>
            </c:strRef>
          </c:cat>
          <c:val>
            <c:numRef>
              <c:f>'PE1.02_Ind01'!$D$15:$H$15</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CCC0-4527-A456-CA98A1B1F8E6}"/>
            </c:ext>
          </c:extLst>
        </c:ser>
        <c:dLbls>
          <c:showLegendKey val="0"/>
          <c:showVal val="0"/>
          <c:showCatName val="0"/>
          <c:showSerName val="0"/>
          <c:showPercent val="0"/>
          <c:showBubbleSize val="0"/>
        </c:dLbls>
        <c:marker val="1"/>
        <c:smooth val="0"/>
        <c:axId val="1499502592"/>
        <c:axId val="1289896992"/>
      </c:lineChart>
      <c:catAx>
        <c:axId val="1499502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89896992"/>
        <c:crosses val="autoZero"/>
        <c:auto val="1"/>
        <c:lblAlgn val="ctr"/>
        <c:lblOffset val="100"/>
        <c:noMultiLvlLbl val="0"/>
      </c:catAx>
      <c:valAx>
        <c:axId val="128989699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9950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PS4.02_Ind03. Percentatge de queixes i suggeriments respostos dins de termini</a:t>
            </a:r>
            <a:endParaRPr lang="ca-ES" sz="1200">
              <a:effectLst/>
            </a:endParaRPr>
          </a:p>
        </c:rich>
      </c:tx>
      <c:overlay val="0"/>
      <c:spPr>
        <a:noFill/>
        <a:ln>
          <a:noFill/>
        </a:ln>
        <a:effectLst/>
      </c:spPr>
    </c:title>
    <c:autoTitleDeleted val="0"/>
    <c:plotArea>
      <c:layout/>
      <c:barChart>
        <c:barDir val="col"/>
        <c:grouping val="clustered"/>
        <c:varyColors val="1"/>
        <c:ser>
          <c:idx val="0"/>
          <c:order val="0"/>
          <c:tx>
            <c:strRef>
              <c:f>'PS4.02_Ind03'!$C$15</c:f>
              <c:strCache>
                <c:ptCount val="1"/>
                <c:pt idx="0">
                  <c:v>% Compliment</c:v>
                </c:pt>
              </c:strCache>
            </c:strRef>
          </c:tx>
          <c:invertIfNegative val="1"/>
          <c:cat>
            <c:strRef>
              <c:f>'PS4.02_Ind03'!$D$13:$J$13</c:f>
              <c:strCache>
                <c:ptCount val="7"/>
                <c:pt idx="0">
                  <c:v>2017/2018</c:v>
                </c:pt>
                <c:pt idx="1">
                  <c:v>2018/2019</c:v>
                </c:pt>
                <c:pt idx="2">
                  <c:v>2019/2020</c:v>
                </c:pt>
                <c:pt idx="3">
                  <c:v>2020/2021</c:v>
                </c:pt>
                <c:pt idx="4">
                  <c:v>2021/2022</c:v>
                </c:pt>
                <c:pt idx="5">
                  <c:v>2022/2023</c:v>
                </c:pt>
                <c:pt idx="6">
                  <c:v>2023/2024</c:v>
                </c:pt>
              </c:strCache>
            </c:strRef>
          </c:cat>
          <c:val>
            <c:numRef>
              <c:f>'PS4.02_Ind03'!$D$16:$J$16</c:f>
              <c:numCache>
                <c:formatCode>0%</c:formatCode>
                <c:ptCount val="7"/>
                <c:pt idx="0">
                  <c:v>1</c:v>
                </c:pt>
                <c:pt idx="1">
                  <c:v>1</c:v>
                </c:pt>
                <c:pt idx="2">
                  <c:v>1</c:v>
                </c:pt>
                <c:pt idx="3">
                  <c:v>1</c:v>
                </c:pt>
                <c:pt idx="4">
                  <c:v>1</c:v>
                </c:pt>
                <c:pt idx="5">
                  <c:v>1</c:v>
                </c:pt>
                <c:pt idx="6">
                  <c:v>0.97</c:v>
                </c:pt>
              </c:numCache>
            </c:numRef>
          </c:val>
          <c:extLst>
            <c:ext xmlns:c16="http://schemas.microsoft.com/office/drawing/2014/chart" uri="{C3380CC4-5D6E-409C-BE32-E72D297353CC}">
              <c16:uniqueId val="{00000000-F8C4-4C96-8D4F-8B597131715D}"/>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1"/>
          <c:tx>
            <c:strRef>
              <c:f>'PS4.02_Ind03'!$C$16</c:f>
              <c:strCache>
                <c:ptCount val="1"/>
                <c:pt idx="0">
                  <c:v>VALOR</c:v>
                </c:pt>
              </c:strCache>
            </c:strRef>
          </c:tx>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'PS4.02_Ind03'!$D$13:$J$13</c:f>
              <c:strCache>
                <c:ptCount val="7"/>
                <c:pt idx="0">
                  <c:v>2017/2018</c:v>
                </c:pt>
                <c:pt idx="1">
                  <c:v>2018/2019</c:v>
                </c:pt>
                <c:pt idx="2">
                  <c:v>2019/2020</c:v>
                </c:pt>
                <c:pt idx="3">
                  <c:v>2020/2021</c:v>
                </c:pt>
                <c:pt idx="4">
                  <c:v>2021/2022</c:v>
                </c:pt>
                <c:pt idx="5">
                  <c:v>2022/2023</c:v>
                </c:pt>
                <c:pt idx="6">
                  <c:v>2023/2024</c:v>
                </c:pt>
              </c:strCache>
            </c:strRef>
          </c:cat>
          <c:val>
            <c:numRef>
              <c:f>'PS4.02_Ind03'!$D$16:$J$16</c:f>
              <c:numCache>
                <c:formatCode>0%</c:formatCode>
                <c:ptCount val="7"/>
                <c:pt idx="0">
                  <c:v>1</c:v>
                </c:pt>
                <c:pt idx="1">
                  <c:v>1</c:v>
                </c:pt>
                <c:pt idx="2">
                  <c:v>1</c:v>
                </c:pt>
                <c:pt idx="3">
                  <c:v>1</c:v>
                </c:pt>
                <c:pt idx="4">
                  <c:v>1</c:v>
                </c:pt>
                <c:pt idx="5">
                  <c:v>1</c:v>
                </c:pt>
                <c:pt idx="6">
                  <c:v>0.97</c:v>
                </c:pt>
              </c:numCache>
            </c:numRef>
          </c:val>
          <c:smooth val="0"/>
          <c:extLst>
            <c:ext xmlns:c16="http://schemas.microsoft.com/office/drawing/2014/chart" uri="{C3380CC4-5D6E-409C-BE32-E72D297353CC}">
              <c16:uniqueId val="{00000001-F8C4-4C96-8D4F-8B597131715D}"/>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PS4.02_Ind02. Nombre d’informes d’avaluació retornats respecte del total rebuts</a:t>
            </a:r>
            <a:endParaRPr lang="ca-ES" sz="1200">
              <a:effectLst/>
            </a:endParaRPr>
          </a:p>
        </c:rich>
      </c:tx>
      <c:overlay val="0"/>
      <c:spPr>
        <a:noFill/>
        <a:ln>
          <a:noFill/>
        </a:ln>
        <a:effectLst/>
      </c:spPr>
    </c:title>
    <c:autoTitleDeleted val="0"/>
    <c:plotArea>
      <c:layout/>
      <c:barChart>
        <c:barDir val="col"/>
        <c:grouping val="clustered"/>
        <c:varyColors val="1"/>
        <c:ser>
          <c:idx val="0"/>
          <c:order val="0"/>
          <c:tx>
            <c:strRef>
              <c:f>'PS4.02_Ind04'!$C$14</c:f>
              <c:strCache>
                <c:ptCount val="1"/>
                <c:pt idx="0">
                  <c:v>Dies</c:v>
                </c:pt>
              </c:strCache>
            </c:strRef>
          </c:tx>
          <c:invertIfNegative val="1"/>
          <c:cat>
            <c:strRef>
              <c:f>'PS4.02_Ind04'!$D$13:$J$13</c:f>
              <c:strCache>
                <c:ptCount val="7"/>
                <c:pt idx="0">
                  <c:v>2017/2018</c:v>
                </c:pt>
                <c:pt idx="1">
                  <c:v>2018/2019</c:v>
                </c:pt>
                <c:pt idx="2">
                  <c:v>2019/2020</c:v>
                </c:pt>
                <c:pt idx="3">
                  <c:v>2020/2021</c:v>
                </c:pt>
                <c:pt idx="4">
                  <c:v>2021/2022</c:v>
                </c:pt>
                <c:pt idx="5">
                  <c:v>2022/2023</c:v>
                </c:pt>
                <c:pt idx="6">
                  <c:v>2023/2024</c:v>
                </c:pt>
              </c:strCache>
            </c:strRef>
          </c:cat>
          <c:val>
            <c:numRef>
              <c:f>'PS4.02_Ind04'!$D$14:$J$14</c:f>
              <c:numCache>
                <c:formatCode>General</c:formatCode>
                <c:ptCount val="7"/>
                <c:pt idx="0">
                  <c:v>0</c:v>
                </c:pt>
                <c:pt idx="1">
                  <c:v>11.19</c:v>
                </c:pt>
                <c:pt idx="2">
                  <c:v>8.0500000000000007</c:v>
                </c:pt>
                <c:pt idx="3">
                  <c:v>3.94</c:v>
                </c:pt>
                <c:pt idx="4">
                  <c:v>5.72</c:v>
                </c:pt>
                <c:pt idx="5">
                  <c:v>3.8</c:v>
                </c:pt>
                <c:pt idx="6">
                  <c:v>9</c:v>
                </c:pt>
              </c:numCache>
            </c:numRef>
          </c:val>
          <c:extLst>
            <c:ext xmlns:c16="http://schemas.microsoft.com/office/drawing/2014/chart" uri="{C3380CC4-5D6E-409C-BE32-E72D297353CC}">
              <c16:uniqueId val="{00000000-DD0D-4297-B230-5C9BA2EA3620}"/>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1"/>
          <c:tx>
            <c:strRef>
              <c:f>'PS4.02_Ind04'!$C$16</c:f>
              <c:strCache>
                <c:ptCount val="1"/>
                <c:pt idx="0">
                  <c:v>VALOR</c:v>
                </c:pt>
              </c:strCache>
            </c:strRef>
          </c:tx>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'PS4.02_Ind04'!$D$13:$J$13</c:f>
              <c:strCache>
                <c:ptCount val="7"/>
                <c:pt idx="0">
                  <c:v>2017/2018</c:v>
                </c:pt>
                <c:pt idx="1">
                  <c:v>2018/2019</c:v>
                </c:pt>
                <c:pt idx="2">
                  <c:v>2019/2020</c:v>
                </c:pt>
                <c:pt idx="3">
                  <c:v>2020/2021</c:v>
                </c:pt>
                <c:pt idx="4">
                  <c:v>2021/2022</c:v>
                </c:pt>
                <c:pt idx="5">
                  <c:v>2022/2023</c:v>
                </c:pt>
                <c:pt idx="6">
                  <c:v>2023/2024</c:v>
                </c:pt>
              </c:strCache>
            </c:strRef>
          </c:cat>
          <c:val>
            <c:numRef>
              <c:f>'PS4.02_Ind04'!$D$16:$J$16</c:f>
              <c:numCache>
                <c:formatCode>General</c:formatCode>
                <c:ptCount val="7"/>
                <c:pt idx="0">
                  <c:v>15</c:v>
                </c:pt>
                <c:pt idx="1">
                  <c:v>15</c:v>
                </c:pt>
                <c:pt idx="2">
                  <c:v>15</c:v>
                </c:pt>
                <c:pt idx="3">
                  <c:v>15</c:v>
                </c:pt>
                <c:pt idx="4">
                  <c:v>15</c:v>
                </c:pt>
                <c:pt idx="5">
                  <c:v>15</c:v>
                </c:pt>
                <c:pt idx="6">
                  <c:v>15</c:v>
                </c:pt>
              </c:numCache>
            </c:numRef>
          </c:val>
          <c:smooth val="0"/>
          <c:extLst>
            <c:ext xmlns:c16="http://schemas.microsoft.com/office/drawing/2014/chart" uri="{C3380CC4-5D6E-409C-BE32-E72D297353CC}">
              <c16:uniqueId val="{00000001-DD0D-4297-B230-5C9BA2EA3620}"/>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PS4.02_Ind05.</a:t>
            </a:r>
            <a:r>
              <a:rPr lang="ca-ES" sz="1200" b="1" baseline="0">
                <a:effectLst/>
              </a:rPr>
              <a:t> Nombre d'informes de vigilància de la Salut retornats respecte dels rebuts</a:t>
            </a:r>
            <a:endParaRPr lang="ca-ES" sz="1200">
              <a:effectLst/>
            </a:endParaRPr>
          </a:p>
        </c:rich>
      </c:tx>
      <c:overlay val="0"/>
      <c:spPr>
        <a:noFill/>
        <a:ln>
          <a:noFill/>
        </a:ln>
        <a:effectLst/>
      </c:spPr>
    </c:title>
    <c:autoTitleDeleted val="0"/>
    <c:plotArea>
      <c:layout/>
      <c:barChart>
        <c:barDir val="col"/>
        <c:grouping val="clustered"/>
        <c:varyColors val="1"/>
        <c:ser>
          <c:idx val="2"/>
          <c:order val="0"/>
          <c:tx>
            <c:strRef>
              <c:f>'PS4.02_Ind05'!$C$14</c:f>
              <c:strCache>
                <c:ptCount val="1"/>
                <c:pt idx="0">
                  <c:v>Dies</c:v>
                </c:pt>
              </c:strCache>
            </c:strRef>
          </c:tx>
          <c:invertIfNegative val="0"/>
          <c:cat>
            <c:strRef>
              <c:f>'PS4.02_Ind05'!$D$13:$H$13</c:f>
              <c:strCache>
                <c:ptCount val="5"/>
                <c:pt idx="0">
                  <c:v>2019/2020</c:v>
                </c:pt>
                <c:pt idx="1">
                  <c:v>2020/2021</c:v>
                </c:pt>
                <c:pt idx="2">
                  <c:v>2021/2022</c:v>
                </c:pt>
                <c:pt idx="3">
                  <c:v>2022/2023</c:v>
                </c:pt>
                <c:pt idx="4">
                  <c:v>2023/2024</c:v>
                </c:pt>
              </c:strCache>
            </c:strRef>
          </c:cat>
          <c:val>
            <c:numRef>
              <c:f>'PS4.02_Ind05'!$D$13:$H$13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C-3FC1-4527-B7B0-B28DDCE9D406}"/>
            </c:ext>
          </c:extLst>
        </c:ser>
        <c:ser>
          <c:idx val="3"/>
          <c:order val="1"/>
          <c:tx>
            <c:strRef>
              <c:f>'PS4.02_Ind05'!$C$16</c:f>
              <c:strCache>
                <c:ptCount val="1"/>
                <c:pt idx="0">
                  <c:v>VALOR</c:v>
                </c:pt>
              </c:strCache>
            </c:strRef>
          </c:tx>
          <c:invertIfNegative val="0"/>
          <c:cat>
            <c:strRef>
              <c:f>'PS4.02_Ind05'!$D$13:$H$13</c:f>
              <c:strCache>
                <c:ptCount val="5"/>
                <c:pt idx="0">
                  <c:v>2019/2020</c:v>
                </c:pt>
                <c:pt idx="1">
                  <c:v>2020/2021</c:v>
                </c:pt>
                <c:pt idx="2">
                  <c:v>2021/2022</c:v>
                </c:pt>
                <c:pt idx="3">
                  <c:v>2022/2023</c:v>
                </c:pt>
                <c:pt idx="4">
                  <c:v>2023/2024</c:v>
                </c:pt>
              </c:strCache>
            </c:strRef>
          </c:cat>
          <c:val>
            <c:numRef>
              <c:f>'PS4.02_Ind05'!$D$16:$H$16</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D-3FC1-4527-B7B0-B28DDCE9D406}"/>
            </c:ext>
          </c:extLst>
        </c:ser>
        <c:dLbls>
          <c:showLegendKey val="0"/>
          <c:showVal val="0"/>
          <c:showCatName val="0"/>
          <c:showSerName val="0"/>
          <c:showPercent val="0"/>
          <c:showBubbleSize val="0"/>
        </c:dLbls>
        <c:gapWidth val="150"/>
        <c:axId val="1151423127"/>
        <c:axId val="517237689"/>
        <c:extLst>
          <c:ext xmlns:c15="http://schemas.microsoft.com/office/drawing/2012/chart" uri="{02D57815-91ED-43cb-92C2-25804820EDAC}">
            <c15:filteredBarSeries>
              <c15:ser>
                <c:idx val="0"/>
                <c:order val="2"/>
                <c:tx>
                  <c:strRef>
                    <c:extLst>
                      <c:ext uri="{02D57815-91ED-43cb-92C2-25804820EDAC}">
                        <c15:formulaRef>
                          <c15:sqref>'PS4.02_Ind06'!$C$14</c15:sqref>
                        </c15:formulaRef>
                      </c:ext>
                    </c:extLst>
                    <c:strCache>
                      <c:ptCount val="1"/>
                      <c:pt idx="0">
                        <c:v>Hores</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'PS4.02_Ind05'!$D$13:$H$13</c15:sqref>
                        </c15:formulaRef>
                      </c:ext>
                    </c:extLst>
                    <c:strCache>
                      <c:ptCount val="5"/>
                      <c:pt idx="0">
                        <c:v>2019/2020</c:v>
                      </c:pt>
                      <c:pt idx="1">
                        <c:v>2020/2021</c:v>
                      </c:pt>
                      <c:pt idx="2">
                        <c:v>2021/2022</c:v>
                      </c:pt>
                      <c:pt idx="3">
                        <c:v>2022/2023</c:v>
                      </c:pt>
                      <c:pt idx="4">
                        <c:v>2023/2024</c:v>
                      </c:pt>
                    </c:strCache>
                  </c:strRef>
                </c:cat>
                <c:val>
                  <c:numRef>
                    <c:extLst>
                      <c:ext uri="{02D57815-91ED-43cb-92C2-25804820EDAC}">
                        <c15:formulaRef>
                          <c15:sqref>'PS4.02_Ind06'!$D$14:$I$14</c15:sqref>
                        </c15:formulaRef>
                      </c:ext>
                    </c:extLst>
                    <c:numCache>
                      <c:formatCode>#,##0</c:formatCode>
                      <c:ptCount val="6"/>
                      <c:pt idx="0">
                        <c:v>7964</c:v>
                      </c:pt>
                      <c:pt idx="1">
                        <c:v>4460</c:v>
                      </c:pt>
                      <c:pt idx="2">
                        <c:v>3868</c:v>
                      </c:pt>
                      <c:pt idx="3">
                        <c:v>4328</c:v>
                      </c:pt>
                      <c:pt idx="4">
                        <c:v>4123</c:v>
                      </c:pt>
                    </c:numCache>
                  </c:numRef>
                </c:val>
                <c:extLst>
                  <c:ext xmlns:c16="http://schemas.microsoft.com/office/drawing/2014/chart" uri="{C3380CC4-5D6E-409C-BE32-E72D297353CC}">
                    <c16:uniqueId val="{00000009-3FC1-4527-B7B0-B28DDCE9D406}"/>
                  </c:ext>
                </c:extLst>
              </c15:ser>
            </c15:filteredBarSeries>
          </c:ext>
        </c:extLst>
      </c:barChart>
      <c:lineChart>
        <c:grouping val="standard"/>
        <c:varyColors val="1"/>
        <c:dLbls>
          <c:showLegendKey val="0"/>
          <c:showVal val="0"/>
          <c:showCatName val="0"/>
          <c:showSerName val="0"/>
          <c:showPercent val="0"/>
          <c:showBubbleSize val="0"/>
        </c:dLbls>
        <c:marker val="1"/>
        <c:smooth val="0"/>
        <c:axId val="1151423127"/>
        <c:axId val="517237689"/>
        <c:extLst>
          <c:ext xmlns:c15="http://schemas.microsoft.com/office/drawing/2012/chart" uri="{02D57815-91ED-43cb-92C2-25804820EDAC}">
            <c15:filteredLineSeries>
              <c15:ser>
                <c:idx val="1"/>
                <c:order val="3"/>
                <c:tx>
                  <c:strRef>
                    <c:extLst>
                      <c:ext uri="{02D57815-91ED-43cb-92C2-25804820EDAC}">
                        <c15:formulaRef>
                          <c15:sqref>'PS4.02_Ind06'!$C$16</c15:sqref>
                        </c15:formulaRef>
                      </c:ext>
                    </c:extLst>
                    <c:strCache>
                      <c:ptCount val="1"/>
                      <c:pt idx="0">
                        <c:v>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uri="{02D57815-91ED-43cb-92C2-25804820EDAC}">
                        <c15:formulaRef>
                          <c15:sqref>'PS4.02_Ind06'!$D$13:$G$13</c15:sqref>
                        </c15:formulaRef>
                      </c:ext>
                    </c:extLst>
                    <c:strCache>
                      <c:ptCount val="4"/>
                      <c:pt idx="0">
                        <c:v>2019/2020</c:v>
                      </c:pt>
                      <c:pt idx="1">
                        <c:v>2020/2021</c:v>
                      </c:pt>
                      <c:pt idx="2">
                        <c:v>2021/2022</c:v>
                      </c:pt>
                      <c:pt idx="3">
                        <c:v>2022/2023</c:v>
                      </c:pt>
                    </c:strCache>
                  </c:strRef>
                </c:cat>
                <c:val>
                  <c:numRef>
                    <c:extLst>
                      <c:ext uri="{02D57815-91ED-43cb-92C2-25804820EDAC}">
                        <c15:formulaRef>
                          <c15:sqref>'PS4.02_Ind06'!$D$16:$I$16</c15:sqref>
                        </c15:formulaRef>
                      </c:ext>
                    </c:extLst>
                    <c:numCache>
                      <c:formatCode>General</c:formatCode>
                      <c:ptCount val="6"/>
                      <c:pt idx="0">
                        <c:v>0</c:v>
                      </c:pt>
                      <c:pt idx="1">
                        <c:v>0</c:v>
                      </c:pt>
                      <c:pt idx="2">
                        <c:v>0</c:v>
                      </c:pt>
                      <c:pt idx="3">
                        <c:v>0</c:v>
                      </c:pt>
                      <c:pt idx="4">
                        <c:v>0</c:v>
                      </c:pt>
                    </c:numCache>
                  </c:numRef>
                </c:val>
                <c:smooth val="0"/>
                <c:extLst>
                  <c:ext xmlns:c16="http://schemas.microsoft.com/office/drawing/2014/chart" uri="{C3380CC4-5D6E-409C-BE32-E72D297353CC}">
                    <c16:uniqueId val="{0000000B-3FC1-4527-B7B0-B28DDCE9D406}"/>
                  </c:ext>
                </c:extLst>
              </c15:ser>
            </c15:filteredLineSeries>
          </c:ext>
        </c:extLst>
      </c:lineChart>
      <c:catAx>
        <c:axId val="115142312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PS4.02_Ind06.</a:t>
            </a:r>
            <a:r>
              <a:rPr lang="ca-ES" sz="1200" b="1" baseline="0">
                <a:effectLst/>
              </a:rPr>
              <a:t> Mantenir el nombre d'hores de formació realitzades</a:t>
            </a:r>
            <a:endParaRPr lang="ca-ES" sz="1200">
              <a:effectLst/>
            </a:endParaRPr>
          </a:p>
        </c:rich>
      </c:tx>
      <c:overlay val="0"/>
      <c:spPr>
        <a:noFill/>
        <a:ln>
          <a:noFill/>
        </a:ln>
        <a:effectLst/>
      </c:spPr>
    </c:title>
    <c:autoTitleDeleted val="0"/>
    <c:plotArea>
      <c:layout/>
      <c:barChart>
        <c:barDir val="col"/>
        <c:grouping val="clustered"/>
        <c:varyColors val="1"/>
        <c:ser>
          <c:idx val="0"/>
          <c:order val="0"/>
          <c:tx>
            <c:strRef>
              <c:f>'PS4.02_Ind06'!$C$14</c:f>
              <c:strCache>
                <c:ptCount val="1"/>
                <c:pt idx="0">
                  <c:v>Hores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'PS4.02_Ind06'!$D$13:$I$13</c15:sqref>
                  </c15:fullRef>
                </c:ext>
              </c:extLst>
              <c:f>'PS4.02_Ind06'!$D$13:$H$13</c:f>
              <c:strCache>
                <c:ptCount val="5"/>
                <c:pt idx="0">
                  <c:v>2019/2020</c:v>
                </c:pt>
                <c:pt idx="1">
                  <c:v>2020/2021</c:v>
                </c:pt>
                <c:pt idx="2">
                  <c:v>2021/2022</c:v>
                </c:pt>
                <c:pt idx="3">
                  <c:v>2022/2023</c:v>
                </c:pt>
                <c:pt idx="4">
                  <c:v>2023/2024</c:v>
                </c:pt>
              </c:strCache>
            </c:strRef>
          </c:cat>
          <c:val>
            <c:numRef>
              <c:extLst>
                <c:ext xmlns:c15="http://schemas.microsoft.com/office/drawing/2012/chart" uri="{02D57815-91ED-43cb-92C2-25804820EDAC}">
                  <c15:fullRef>
                    <c15:sqref>'PS4.02_Ind06'!$D$14:$I$14</c15:sqref>
                  </c15:fullRef>
                </c:ext>
              </c:extLst>
              <c:f>'PS4.02_Ind06'!$D$14:$H$14</c:f>
              <c:numCache>
                <c:formatCode>#,##0</c:formatCode>
                <c:ptCount val="5"/>
                <c:pt idx="0">
                  <c:v>7964</c:v>
                </c:pt>
                <c:pt idx="1">
                  <c:v>4460</c:v>
                </c:pt>
                <c:pt idx="2">
                  <c:v>3868</c:v>
                </c:pt>
                <c:pt idx="3">
                  <c:v>4328</c:v>
                </c:pt>
                <c:pt idx="4">
                  <c:v>4123</c:v>
                </c:pt>
              </c:numCache>
            </c:numRef>
          </c:val>
          <c:extLst>
            <c:ext xmlns:c16="http://schemas.microsoft.com/office/drawing/2014/chart" uri="{C3380CC4-5D6E-409C-BE32-E72D297353CC}">
              <c16:uniqueId val="{00000000-1135-4750-AA5B-EB3FB9A4CC55}"/>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1"/>
          <c:tx>
            <c:strRef>
              <c:f>'PS4.02_Ind06'!$C$16</c:f>
              <c:strCache>
                <c:ptCount val="1"/>
                <c:pt idx="0">
                  <c:v>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'PS4.02_Ind06'!$D$13:$G$13</c15:sqref>
                  </c15:fullRef>
                </c:ext>
              </c:extLst>
              <c:f>'PS4.02_Ind06'!$D$13:$G$13</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'PS4.02_Ind06'!$D$16:$I$16</c15:sqref>
                  </c15:fullRef>
                </c:ext>
              </c:extLst>
              <c:f>'PS4.02_Ind06'!$D$16:$H$16</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1135-4750-AA5B-EB3FB9A4CC55}"/>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PS4.03_Ind01. PDI permanent desglossat per categoria i sexe.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'PS4.03_Ind01'!$B$69</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'PS4.03_Ind01'!$D$58:$G$58</c:f>
              <c:strCache>
                <c:ptCount val="4"/>
                <c:pt idx="0">
                  <c:v>2020/2021</c:v>
                </c:pt>
                <c:pt idx="1">
                  <c:v>2021/2022</c:v>
                </c:pt>
                <c:pt idx="2">
                  <c:v>2022/2023</c:v>
                </c:pt>
                <c:pt idx="3">
                  <c:v>2023/2024</c:v>
                </c:pt>
              </c:strCache>
            </c:strRef>
          </c:cat>
          <c:val>
            <c:numRef>
              <c:f>'PS4.03_Ind01'!$C$69:$E$69</c:f>
              <c:numCache>
                <c:formatCode>General</c:formatCode>
                <c:ptCount val="3"/>
              </c:numCache>
            </c:numRef>
          </c:val>
          <c:extLst>
            <c:ext xmlns:c16="http://schemas.microsoft.com/office/drawing/2014/chart" uri="{C3380CC4-5D6E-409C-BE32-E72D297353CC}">
              <c16:uniqueId val="{00000000-7342-4E30-A64B-F060189F6BE1}"/>
            </c:ext>
          </c:extLst>
        </c:ser>
        <c:ser>
          <c:idx val="1"/>
          <c:order val="1"/>
          <c:tx>
            <c:strRef>
              <c:f>'PS4.03_Ind01'!$C$59</c:f>
              <c:strCache>
                <c:ptCount val="1"/>
                <c:pt idx="0">
                  <c:v>Física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'PS4.03_Ind01'!$D$58:$G$58</c:f>
              <c:strCache>
                <c:ptCount val="4"/>
                <c:pt idx="0">
                  <c:v>2020/2021</c:v>
                </c:pt>
                <c:pt idx="1">
                  <c:v>2021/2022</c:v>
                </c:pt>
                <c:pt idx="2">
                  <c:v>2022/2023</c:v>
                </c:pt>
                <c:pt idx="3">
                  <c:v>2023/2024</c:v>
                </c:pt>
              </c:strCache>
            </c:strRef>
          </c:cat>
          <c:val>
            <c:numRef>
              <c:f>'PS4.03_Ind01'!$D$59:$G$59</c:f>
              <c:numCache>
                <c:formatCode>0.00%</c:formatCode>
                <c:ptCount val="4"/>
                <c:pt idx="0">
                  <c:v>0.128</c:v>
                </c:pt>
                <c:pt idx="1">
                  <c:v>0.128</c:v>
                </c:pt>
                <c:pt idx="2">
                  <c:v>0.192</c:v>
                </c:pt>
                <c:pt idx="3">
                  <c:v>0.29270000000000002</c:v>
                </c:pt>
              </c:numCache>
            </c:numRef>
          </c:val>
          <c:extLst>
            <c:ext xmlns:c16="http://schemas.microsoft.com/office/drawing/2014/chart" uri="{C3380CC4-5D6E-409C-BE32-E72D297353CC}">
              <c16:uniqueId val="{00000003-7342-4E30-A64B-F060189F6BE1}"/>
            </c:ext>
          </c:extLst>
        </c:ser>
        <c:ser>
          <c:idx val="2"/>
          <c:order val="2"/>
          <c:tx>
            <c:strRef>
              <c:f>'PS4.03_Ind01'!$C$60</c:f>
              <c:strCache>
                <c:ptCount val="1"/>
                <c:pt idx="0">
                  <c:v>Química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'PS4.03_Ind01'!$D$58:$G$58</c:f>
              <c:strCache>
                <c:ptCount val="4"/>
                <c:pt idx="0">
                  <c:v>2020/2021</c:v>
                </c:pt>
                <c:pt idx="1">
                  <c:v>2021/2022</c:v>
                </c:pt>
                <c:pt idx="2">
                  <c:v>2022/2023</c:v>
                </c:pt>
                <c:pt idx="3">
                  <c:v>2023/2024</c:v>
                </c:pt>
              </c:strCache>
            </c:strRef>
          </c:cat>
          <c:val>
            <c:numRef>
              <c:f>'PS4.03_Ind01'!$D$60:$G$60</c:f>
              <c:numCache>
                <c:formatCode>0.00%</c:formatCode>
                <c:ptCount val="4"/>
                <c:pt idx="0">
                  <c:v>0.36199999999999999</c:v>
                </c:pt>
                <c:pt idx="1">
                  <c:v>0.36199999999999999</c:v>
                </c:pt>
                <c:pt idx="2">
                  <c:v>0.40400000000000003</c:v>
                </c:pt>
                <c:pt idx="3">
                  <c:v>0.27479999999999999</c:v>
                </c:pt>
              </c:numCache>
            </c:numRef>
          </c:val>
          <c:extLst>
            <c:ext xmlns:c16="http://schemas.microsoft.com/office/drawing/2014/chart" uri="{C3380CC4-5D6E-409C-BE32-E72D297353CC}">
              <c16:uniqueId val="{00000004-7342-4E30-A64B-F060189F6BE1}"/>
            </c:ext>
          </c:extLst>
        </c:ser>
        <c:ser>
          <c:idx val="3"/>
          <c:order val="3"/>
          <c:tx>
            <c:strRef>
              <c:f>'PS4.03_Ind01'!$C$61</c:f>
              <c:strCache>
                <c:ptCount val="1"/>
                <c:pt idx="0">
                  <c:v>Matemàtiques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'PS4.03_Ind01'!$D$58:$G$58</c:f>
              <c:strCache>
                <c:ptCount val="4"/>
                <c:pt idx="0">
                  <c:v>2020/2021</c:v>
                </c:pt>
                <c:pt idx="1">
                  <c:v>2021/2022</c:v>
                </c:pt>
                <c:pt idx="2">
                  <c:v>2022/2023</c:v>
                </c:pt>
                <c:pt idx="3">
                  <c:v>2023/2024</c:v>
                </c:pt>
              </c:strCache>
            </c:strRef>
          </c:cat>
          <c:val>
            <c:numRef>
              <c:f>'PS4.03_Ind01'!$D$61:$G$61</c:f>
              <c:numCache>
                <c:formatCode>0.00%</c:formatCode>
                <c:ptCount val="4"/>
                <c:pt idx="0">
                  <c:v>0.14799999999999999</c:v>
                </c:pt>
                <c:pt idx="1">
                  <c:v>0.14799999999999999</c:v>
                </c:pt>
                <c:pt idx="2">
                  <c:v>0.28299999999999997</c:v>
                </c:pt>
                <c:pt idx="3">
                  <c:v>0.37890000000000001</c:v>
                </c:pt>
              </c:numCache>
            </c:numRef>
          </c:val>
          <c:extLst>
            <c:ext xmlns:c16="http://schemas.microsoft.com/office/drawing/2014/chart" uri="{C3380CC4-5D6E-409C-BE32-E72D297353CC}">
              <c16:uniqueId val="{00000005-7342-4E30-A64B-F060189F6BE1}"/>
            </c:ext>
          </c:extLst>
        </c:ser>
        <c:ser>
          <c:idx val="4"/>
          <c:order val="4"/>
          <c:tx>
            <c:strRef>
              <c:f>'PS4.03_Ind01'!$C$62</c:f>
              <c:strCache>
                <c:ptCount val="1"/>
                <c:pt idx="0">
                  <c:v>Geologia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'PS4.03_Ind01'!$D$58:$G$58</c:f>
              <c:strCache>
                <c:ptCount val="4"/>
                <c:pt idx="0">
                  <c:v>2020/2021</c:v>
                </c:pt>
                <c:pt idx="1">
                  <c:v>2021/2022</c:v>
                </c:pt>
                <c:pt idx="2">
                  <c:v>2022/2023</c:v>
                </c:pt>
                <c:pt idx="3">
                  <c:v>2023/2024</c:v>
                </c:pt>
              </c:strCache>
            </c:strRef>
          </c:cat>
          <c:val>
            <c:numRef>
              <c:f>'PS4.03_Ind01'!$D$62:$G$62</c:f>
              <c:numCache>
                <c:formatCode>0.00%</c:formatCode>
                <c:ptCount val="4"/>
                <c:pt idx="0">
                  <c:v>0.27300000000000002</c:v>
                </c:pt>
                <c:pt idx="1">
                  <c:v>0.27300000000000002</c:v>
                </c:pt>
                <c:pt idx="2">
                  <c:v>0.20599999999999999</c:v>
                </c:pt>
                <c:pt idx="3">
                  <c:v>0.31369999999999998</c:v>
                </c:pt>
              </c:numCache>
            </c:numRef>
          </c:val>
          <c:extLst>
            <c:ext xmlns:c16="http://schemas.microsoft.com/office/drawing/2014/chart" uri="{C3380CC4-5D6E-409C-BE32-E72D297353CC}">
              <c16:uniqueId val="{00000006-7342-4E30-A64B-F060189F6BE1}"/>
            </c:ext>
          </c:extLst>
        </c:ser>
        <c:dLbls>
          <c:showLegendKey val="0"/>
          <c:showVal val="0"/>
          <c:showCatName val="0"/>
          <c:showSerName val="0"/>
          <c:showPercent val="0"/>
          <c:showBubbleSize val="0"/>
        </c:dLbls>
        <c:gapWidth val="219"/>
        <c:axId val="1256820176"/>
        <c:axId val="1345493344"/>
      </c:barChart>
      <c:lineChart>
        <c:grouping val="standard"/>
        <c:varyColors val="0"/>
        <c:ser>
          <c:idx val="5"/>
          <c:order val="5"/>
          <c:tx>
            <c:strRef>
              <c:f>'PS4.03_Ind01'!$C$63</c:f>
              <c:strCache>
                <c:ptCount val="1"/>
                <c:pt idx="0">
                  <c:v>Valor objectiu</c:v>
                </c:pt>
              </c:strCache>
            </c:strRef>
          </c:tx>
          <c:spPr>
            <a:ln w="34925" cap="rnd">
              <a:solidFill>
                <a:schemeClr val="accent6"/>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cat>
            <c:strRef>
              <c:f>'PS4.03_Ind01'!$D$58:$G$58</c:f>
              <c:strCache>
                <c:ptCount val="4"/>
                <c:pt idx="0">
                  <c:v>2020/2021</c:v>
                </c:pt>
                <c:pt idx="1">
                  <c:v>2021/2022</c:v>
                </c:pt>
                <c:pt idx="2">
                  <c:v>2022/2023</c:v>
                </c:pt>
                <c:pt idx="3">
                  <c:v>2023/2024</c:v>
                </c:pt>
              </c:strCache>
            </c:strRef>
          </c:cat>
          <c:val>
            <c:numRef>
              <c:f>'PS4.03_Ind01'!$D$63:$G$63</c:f>
              <c:numCache>
                <c:formatCode>0%</c:formatCode>
                <c:ptCount val="4"/>
                <c:pt idx="0">
                  <c:v>0.3</c:v>
                </c:pt>
                <c:pt idx="1">
                  <c:v>0.3</c:v>
                </c:pt>
                <c:pt idx="2">
                  <c:v>0.3</c:v>
                </c:pt>
                <c:pt idx="3" formatCode="0.00%">
                  <c:v>0.3</c:v>
                </c:pt>
              </c:numCache>
            </c:numRef>
          </c:val>
          <c:smooth val="0"/>
          <c:extLst>
            <c:ext xmlns:c16="http://schemas.microsoft.com/office/drawing/2014/chart" uri="{C3380CC4-5D6E-409C-BE32-E72D297353CC}">
              <c16:uniqueId val="{00000007-7342-4E30-A64B-F060189F6BE1}"/>
            </c:ext>
          </c:extLst>
        </c:ser>
        <c:dLbls>
          <c:showLegendKey val="0"/>
          <c:showVal val="0"/>
          <c:showCatName val="0"/>
          <c:showSerName val="0"/>
          <c:showPercent val="0"/>
          <c:showBubbleSize val="0"/>
        </c:dLbls>
        <c:marker val="1"/>
        <c:smooth val="0"/>
        <c:axId val="1256820176"/>
        <c:axId val="1345493344"/>
      </c:lineChart>
      <c:catAx>
        <c:axId val="12568201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5493344"/>
        <c:crosses val="autoZero"/>
        <c:auto val="1"/>
        <c:lblAlgn val="ctr"/>
        <c:lblOffset val="100"/>
        <c:noMultiLvlLbl val="0"/>
      </c:catAx>
      <c:valAx>
        <c:axId val="13454933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5682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600" b="1" i="0" u="none" strike="noStrike" baseline="0">
                <a:effectLst/>
              </a:rPr>
              <a:t>PS4.03_Ind02 Percentatge d’hores de docència impartides per PDI amb títol de doctor </a:t>
            </a:r>
            <a:endParaRPr lang="ca-E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'PS4.03_Ind02'!$B$33</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'PS4.03_Ind02'!$C$33:$E$33</c:f>
              <c:numCache>
                <c:formatCode>General</c:formatCode>
                <c:ptCount val="3"/>
              </c:numCache>
              <c:extLst/>
            </c:numRef>
          </c:val>
          <c:extLst>
            <c:ext xmlns:c16="http://schemas.microsoft.com/office/drawing/2014/chart" uri="{C3380CC4-5D6E-409C-BE32-E72D297353CC}">
              <c16:uniqueId val="{00000000-FC4E-483D-A574-D12A53B3ED78}"/>
            </c:ext>
          </c:extLst>
        </c:ser>
        <c:ser>
          <c:idx val="1"/>
          <c:order val="1"/>
          <c:tx>
            <c:strRef>
              <c:f>'PS4.03_Ind02'!$B$15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'PS4.03_Ind02'!$G$15:$J$15</c:f>
              <c:numCache>
                <c:formatCode>0.00%</c:formatCode>
                <c:ptCount val="4"/>
                <c:pt idx="0">
                  <c:v>0.76</c:v>
                </c:pt>
                <c:pt idx="1">
                  <c:v>0.751</c:v>
                </c:pt>
                <c:pt idx="2">
                  <c:v>0.74</c:v>
                </c:pt>
                <c:pt idx="3">
                  <c:v>0.69099999999999995</c:v>
                </c:pt>
              </c:numCache>
              <c:extLst/>
            </c:numRef>
          </c:val>
          <c:extLst>
            <c:ext xmlns:c16="http://schemas.microsoft.com/office/drawing/2014/chart" uri="{C3380CC4-5D6E-409C-BE32-E72D297353CC}">
              <c16:uniqueId val="{00000001-FC4E-483D-A574-D12A53B3ED78}"/>
            </c:ext>
          </c:extLst>
        </c:ser>
        <c:ser>
          <c:idx val="2"/>
          <c:order val="2"/>
          <c:tx>
            <c:strRef>
              <c:f>'PS4.03_Ind02'!$B$16</c:f>
              <c:strCache>
                <c:ptCount val="1"/>
                <c:pt idx="0">
                  <c:v>CCAA+Geologia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'PS4.03_Ind02'!$G$16:$J$16</c:f>
              <c:numCache>
                <c:formatCode>0.00%</c:formatCode>
                <c:ptCount val="4"/>
                <c:pt idx="0">
                  <c:v>0.75</c:v>
                </c:pt>
                <c:pt idx="1">
                  <c:v>0.75890000000000002</c:v>
                </c:pt>
                <c:pt idx="2">
                  <c:v>0.80730000000000002</c:v>
                </c:pt>
                <c:pt idx="3">
                  <c:v>0.79210000000000003</c:v>
                </c:pt>
              </c:numCache>
              <c:extLst/>
            </c:numRef>
          </c:val>
          <c:extLst>
            <c:ext xmlns:c16="http://schemas.microsoft.com/office/drawing/2014/chart" uri="{C3380CC4-5D6E-409C-BE32-E72D297353CC}">
              <c16:uniqueId val="{00000002-FC4E-483D-A574-D12A53B3ED78}"/>
            </c:ext>
          </c:extLst>
        </c:ser>
        <c:ser>
          <c:idx val="3"/>
          <c:order val="3"/>
          <c:tx>
            <c:strRef>
              <c:f>'PS4.03_Ind02'!$B$17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'PS4.03_Ind02'!$G$17:$J$17</c:f>
              <c:numCache>
                <c:formatCode>0.00%</c:formatCode>
                <c:ptCount val="4"/>
                <c:pt idx="0">
                  <c:v>0.7</c:v>
                </c:pt>
                <c:pt idx="1">
                  <c:v>0.72189999999999999</c:v>
                </c:pt>
                <c:pt idx="2">
                  <c:v>0.68</c:v>
                </c:pt>
                <c:pt idx="3">
                  <c:v>0.69040000000000001</c:v>
                </c:pt>
              </c:numCache>
              <c:extLst/>
            </c:numRef>
          </c:val>
          <c:extLst>
            <c:ext xmlns:c16="http://schemas.microsoft.com/office/drawing/2014/chart" uri="{C3380CC4-5D6E-409C-BE32-E72D297353CC}">
              <c16:uniqueId val="{00000003-FC4E-483D-A574-D12A53B3ED78}"/>
            </c:ext>
          </c:extLst>
        </c:ser>
        <c:ser>
          <c:idx val="4"/>
          <c:order val="4"/>
          <c:tx>
            <c:strRef>
              <c:f>'PS4.03_Ind02'!$B$19</c:f>
              <c:strCache>
                <c:ptCount val="1"/>
                <c:pt idx="0">
                  <c:v>Física+Matemàtiques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'PS4.03_Ind02'!$G$19:$J$19</c:f>
              <c:numCache>
                <c:formatCode>0.00%</c:formatCode>
                <c:ptCount val="4"/>
                <c:pt idx="0">
                  <c:v>0.93</c:v>
                </c:pt>
                <c:pt idx="1">
                  <c:v>0.93269999999999997</c:v>
                </c:pt>
                <c:pt idx="2">
                  <c:v>0.9214</c:v>
                </c:pt>
                <c:pt idx="3">
                  <c:v>0.89559999999999995</c:v>
                </c:pt>
              </c:numCache>
              <c:extLst/>
            </c:numRef>
          </c:val>
          <c:extLst>
            <c:ext xmlns:c16="http://schemas.microsoft.com/office/drawing/2014/chart" uri="{C3380CC4-5D6E-409C-BE32-E72D297353CC}">
              <c16:uniqueId val="{00000004-FC4E-483D-A574-D12A53B3ED78}"/>
            </c:ext>
          </c:extLst>
        </c:ser>
        <c:ser>
          <c:idx val="5"/>
          <c:order val="5"/>
          <c:tx>
            <c:strRef>
              <c:f>'PS4.03_Ind02'!$B$18</c:f>
              <c:strCache>
                <c:ptCount val="1"/>
                <c:pt idx="0">
                  <c:v>Física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'PS4.03_Ind02'!$G$18:$J$18</c:f>
              <c:numCache>
                <c:formatCode>0.00%</c:formatCode>
                <c:ptCount val="4"/>
                <c:pt idx="0">
                  <c:v>0.87</c:v>
                </c:pt>
                <c:pt idx="1">
                  <c:v>0.89190000000000003</c:v>
                </c:pt>
                <c:pt idx="2">
                  <c:v>0.91</c:v>
                </c:pt>
                <c:pt idx="3">
                  <c:v>0.87329999999999997</c:v>
                </c:pt>
              </c:numCache>
              <c:extLst/>
            </c:numRef>
          </c:val>
          <c:extLst>
            <c:ext xmlns:c16="http://schemas.microsoft.com/office/drawing/2014/chart" uri="{C3380CC4-5D6E-409C-BE32-E72D297353CC}">
              <c16:uniqueId val="{00000005-FC4E-483D-A574-D12A53B3ED78}"/>
            </c:ext>
          </c:extLst>
        </c:ser>
        <c:ser>
          <c:idx val="6"/>
          <c:order val="6"/>
          <c:tx>
            <c:strRef>
              <c:f>'PS4.03_Ind02'!$B$20</c:f>
              <c:strCache>
                <c:ptCount val="1"/>
                <c:pt idx="0">
                  <c:v>Física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'PS4.03_Ind02'!$G$20:$J$20</c:f>
              <c:numCache>
                <c:formatCode>0.00%</c:formatCode>
                <c:ptCount val="4"/>
                <c:pt idx="0">
                  <c:v>0.96</c:v>
                </c:pt>
                <c:pt idx="1">
                  <c:v>0.80759999999999998</c:v>
                </c:pt>
                <c:pt idx="2">
                  <c:v>0.83430000000000004</c:v>
                </c:pt>
                <c:pt idx="3">
                  <c:v>0.80620000000000003</c:v>
                </c:pt>
              </c:numCache>
              <c:extLst/>
            </c:numRef>
          </c:val>
          <c:extLst>
            <c:ext xmlns:c16="http://schemas.microsoft.com/office/drawing/2014/chart" uri="{C3380CC4-5D6E-409C-BE32-E72D297353CC}">
              <c16:uniqueId val="{00000006-FC4E-483D-A574-D12A53B3ED78}"/>
            </c:ext>
          </c:extLst>
        </c:ser>
        <c:ser>
          <c:idx val="7"/>
          <c:order val="7"/>
          <c:tx>
            <c:strRef>
              <c:f>'PS4.03_Ind02'!$B$21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'PS4.03_Ind02'!$G$21:$J$21</c:f>
              <c:numCache>
                <c:formatCode>0.00%</c:formatCode>
                <c:ptCount val="4"/>
                <c:pt idx="0">
                  <c:v>0.81</c:v>
                </c:pt>
                <c:pt idx="1">
                  <c:v>0.78359999999999996</c:v>
                </c:pt>
                <c:pt idx="2">
                  <c:v>0.87</c:v>
                </c:pt>
                <c:pt idx="3">
                  <c:v>0.87860000000000005</c:v>
                </c:pt>
              </c:numCache>
              <c:extLst/>
            </c:numRef>
          </c:val>
          <c:extLst>
            <c:ext xmlns:c16="http://schemas.microsoft.com/office/drawing/2014/chart" uri="{C3380CC4-5D6E-409C-BE32-E72D297353CC}">
              <c16:uniqueId val="{00000007-FC4E-483D-A574-D12A53B3ED78}"/>
            </c:ext>
          </c:extLst>
        </c:ser>
        <c:ser>
          <c:idx val="8"/>
          <c:order val="8"/>
          <c:tx>
            <c:strRef>
              <c:f>'PS4.03_Ind02'!$B$22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'PS4.03_Ind02'!$G$22:$J$22</c:f>
              <c:numCache>
                <c:formatCode>0.00%</c:formatCode>
                <c:ptCount val="4"/>
                <c:pt idx="0">
                  <c:v>0.88</c:v>
                </c:pt>
                <c:pt idx="1">
                  <c:v>0.84130000000000005</c:v>
                </c:pt>
                <c:pt idx="2">
                  <c:v>0.86</c:v>
                </c:pt>
                <c:pt idx="3">
                  <c:v>0.86729999999999996</c:v>
                </c:pt>
              </c:numCache>
              <c:extLst/>
            </c:numRef>
          </c:val>
          <c:extLst>
            <c:ext xmlns:c16="http://schemas.microsoft.com/office/drawing/2014/chart" uri="{C3380CC4-5D6E-409C-BE32-E72D297353CC}">
              <c16:uniqueId val="{00000008-FC4E-483D-A574-D12A53B3ED78}"/>
            </c:ext>
          </c:extLst>
        </c:ser>
        <c:ser>
          <c:idx val="9"/>
          <c:order val="9"/>
          <c:tx>
            <c:strRef>
              <c:f>'PS4.03_Ind02'!$B$23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'PS4.03_Ind02'!$G$23:$J$23</c:f>
              <c:numCache>
                <c:formatCode>0.00%</c:formatCode>
                <c:ptCount val="4"/>
                <c:pt idx="0">
                  <c:v>0.95</c:v>
                </c:pt>
                <c:pt idx="1">
                  <c:v>0.93440000000000001</c:v>
                </c:pt>
                <c:pt idx="2">
                  <c:v>0.93</c:v>
                </c:pt>
                <c:pt idx="3">
                  <c:v>0.89290000000000003</c:v>
                </c:pt>
              </c:numCache>
              <c:extLst/>
            </c:numRef>
          </c:val>
          <c:extLst>
            <c:ext xmlns:c16="http://schemas.microsoft.com/office/drawing/2014/chart" uri="{C3380CC4-5D6E-409C-BE32-E72D297353CC}">
              <c16:uniqueId val="{00000009-FC4E-483D-A574-D12A53B3ED78}"/>
            </c:ext>
          </c:extLst>
        </c:ser>
        <c:ser>
          <c:idx val="10"/>
          <c:order val="10"/>
          <c:tx>
            <c:strRef>
              <c:f>'PS4.03_Ind02'!$B$24</c:f>
              <c:strCache>
                <c:ptCount val="1"/>
                <c:pt idx="0">
                  <c:v>Nanociència i Nanotecnologia   </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'PS4.03_Ind02'!$G$24:$J$24</c:f>
              <c:numCache>
                <c:formatCode>0.00%</c:formatCode>
                <c:ptCount val="4"/>
                <c:pt idx="0">
                  <c:v>0.84</c:v>
                </c:pt>
                <c:pt idx="1">
                  <c:v>0.85</c:v>
                </c:pt>
                <c:pt idx="2">
                  <c:v>0.83</c:v>
                </c:pt>
                <c:pt idx="3">
                  <c:v>0.81889999999999996</c:v>
                </c:pt>
              </c:numCache>
              <c:extLst/>
            </c:numRef>
          </c:val>
          <c:extLst>
            <c:ext xmlns:c16="http://schemas.microsoft.com/office/drawing/2014/chart" uri="{C3380CC4-5D6E-409C-BE32-E72D297353CC}">
              <c16:uniqueId val="{0000000A-FC4E-483D-A574-D12A53B3ED78}"/>
            </c:ext>
          </c:extLst>
        </c:ser>
        <c:ser>
          <c:idx val="11"/>
          <c:order val="11"/>
          <c:tx>
            <c:strRef>
              <c:f>'PS4.03_Ind02'!$B$25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'PS4.03_Ind02'!$G$25:$J$25</c:f>
              <c:numCache>
                <c:formatCode>0.00%</c:formatCode>
                <c:ptCount val="4"/>
                <c:pt idx="0">
                  <c:v>0.81</c:v>
                </c:pt>
                <c:pt idx="1">
                  <c:v>0.78129999999999999</c:v>
                </c:pt>
                <c:pt idx="2">
                  <c:v>0.79</c:v>
                </c:pt>
                <c:pt idx="3">
                  <c:v>0.77739999999999998</c:v>
                </c:pt>
              </c:numCache>
              <c:extLst/>
            </c:numRef>
          </c:val>
          <c:extLst>
            <c:ext xmlns:c16="http://schemas.microsoft.com/office/drawing/2014/chart" uri="{C3380CC4-5D6E-409C-BE32-E72D297353CC}">
              <c16:uniqueId val="{0000000B-FC4E-483D-A574-D12A53B3ED78}"/>
            </c:ext>
          </c:extLst>
        </c:ser>
        <c:ser>
          <c:idx val="12"/>
          <c:order val="12"/>
          <c:tx>
            <c:strRef>
              <c:f>'PS4.03_Ind02'!$B$27</c:f>
              <c:strCache>
                <c:ptCount val="1"/>
                <c:pt idx="0">
                  <c:v>TOTALS</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'PS4.03_Ind02'!$G$27:$J$27</c:f>
              <c:numCache>
                <c:formatCode>General</c:formatCode>
                <c:ptCount val="4"/>
                <c:pt idx="0">
                  <c:v>11</c:v>
                </c:pt>
                <c:pt idx="1">
                  <c:v>11</c:v>
                </c:pt>
                <c:pt idx="2">
                  <c:v>11</c:v>
                </c:pt>
                <c:pt idx="3">
                  <c:v>11</c:v>
                </c:pt>
              </c:numCache>
              <c:extLst/>
            </c:numRef>
          </c:val>
          <c:extLst>
            <c:ext xmlns:c16="http://schemas.microsoft.com/office/drawing/2014/chart" uri="{C3380CC4-5D6E-409C-BE32-E72D297353CC}">
              <c16:uniqueId val="{0000000C-FC4E-483D-A574-D12A53B3ED78}"/>
            </c:ext>
          </c:extLst>
        </c:ser>
        <c:ser>
          <c:idx val="14"/>
          <c:order val="14"/>
          <c:tx>
            <c:strRef>
              <c:f>'PS4.03_Ind02'!$B$29</c:f>
              <c:strCache>
                <c:ptCount val="1"/>
                <c:pt idx="0">
                  <c:v>% Compliment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'PS4.03_Ind02'!$G$29:$J$29</c:f>
              <c:numCache>
                <c:formatCode>0.00%</c:formatCode>
                <c:ptCount val="4"/>
                <c:pt idx="0">
                  <c:v>1</c:v>
                </c:pt>
                <c:pt idx="1">
                  <c:v>1</c:v>
                </c:pt>
                <c:pt idx="2">
                  <c:v>0.90909090909090906</c:v>
                </c:pt>
                <c:pt idx="3">
                  <c:v>0.81818181818181823</c:v>
                </c:pt>
              </c:numCache>
              <c:extLst/>
            </c:numRef>
          </c:val>
          <c:extLst>
            <c:ext xmlns:c16="http://schemas.microsoft.com/office/drawing/2014/chart" uri="{C3380CC4-5D6E-409C-BE32-E72D297353CC}">
              <c16:uniqueId val="{0000000E-FC4E-483D-A574-D12A53B3ED78}"/>
            </c:ext>
          </c:extLst>
        </c:ser>
        <c:ser>
          <c:idx val="15"/>
          <c:order val="15"/>
          <c:tx>
            <c:strRef>
              <c:f>'PS4.03_Ind02'!$B$30</c:f>
              <c:strCache>
                <c:ptCount val="1"/>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'PS4.03_Ind02'!$D$30:$G$30</c:f>
              <c:numCache>
                <c:formatCode>General</c:formatCode>
                <c:ptCount val="4"/>
              </c:numCache>
              <c:extLst/>
            </c:numRef>
          </c:val>
          <c:extLst>
            <c:ext xmlns:c16="http://schemas.microsoft.com/office/drawing/2014/chart" uri="{C3380CC4-5D6E-409C-BE32-E72D297353CC}">
              <c16:uniqueId val="{0000000F-FC4E-483D-A574-D12A53B3ED78}"/>
            </c:ext>
          </c:extLst>
        </c:ser>
        <c:ser>
          <c:idx val="16"/>
          <c:order val="16"/>
          <c:tx>
            <c:strRef>
              <c:f>'PS4.03_Ind02'!#REF!</c:f>
              <c:strCache>
                <c:ptCount val="1"/>
                <c:pt idx="0">
                  <c:v>#REF!</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'PS4.03_Ind02'!#REF!</c:f>
              <c:numCache>
                <c:formatCode>General</c:formatCode>
                <c:ptCount val="1"/>
                <c:pt idx="0">
                  <c:v>1</c:v>
                </c:pt>
              </c:numCache>
            </c:numRef>
          </c:val>
          <c:extLst>
            <c:ext xmlns:c16="http://schemas.microsoft.com/office/drawing/2014/chart" uri="{C3380CC4-5D6E-409C-BE32-E72D297353CC}">
              <c16:uniqueId val="{00000010-FC4E-483D-A574-D12A53B3ED78}"/>
            </c:ext>
          </c:extLst>
        </c:ser>
        <c:ser>
          <c:idx val="17"/>
          <c:order val="17"/>
          <c:tx>
            <c:strRef>
              <c:f>'PS4.03_Ind02'!#REF!</c:f>
              <c:strCache>
                <c:ptCount val="1"/>
                <c:pt idx="0">
                  <c:v>#REF!</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'PS4.03_Ind02'!#REF!</c:f>
              <c:numCache>
                <c:formatCode>General</c:formatCode>
                <c:ptCount val="1"/>
                <c:pt idx="0">
                  <c:v>1</c:v>
                </c:pt>
              </c:numCache>
            </c:numRef>
          </c:val>
          <c:extLst>
            <c:ext xmlns:c16="http://schemas.microsoft.com/office/drawing/2014/chart" uri="{C3380CC4-5D6E-409C-BE32-E72D297353CC}">
              <c16:uniqueId val="{00000011-FC4E-483D-A574-D12A53B3ED78}"/>
            </c:ext>
          </c:extLst>
        </c:ser>
        <c:ser>
          <c:idx val="18"/>
          <c:order val="18"/>
          <c:tx>
            <c:strRef>
              <c:f>'PS4.03_Ind02'!#REF!</c:f>
              <c:strCache>
                <c:ptCount val="1"/>
                <c:pt idx="0">
                  <c:v>#REF!</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'PS4.03_Ind02'!#REF!</c:f>
              <c:numCache>
                <c:formatCode>General</c:formatCode>
                <c:ptCount val="1"/>
                <c:pt idx="0">
                  <c:v>1</c:v>
                </c:pt>
              </c:numCache>
            </c:numRef>
          </c:val>
          <c:extLst>
            <c:ext xmlns:c16="http://schemas.microsoft.com/office/drawing/2014/chart" uri="{C3380CC4-5D6E-409C-BE32-E72D297353CC}">
              <c16:uniqueId val="{00000012-FC4E-483D-A574-D12A53B3ED78}"/>
            </c:ext>
          </c:extLst>
        </c:ser>
        <c:dLbls>
          <c:showLegendKey val="0"/>
          <c:showVal val="0"/>
          <c:showCatName val="0"/>
          <c:showSerName val="0"/>
          <c:showPercent val="0"/>
          <c:showBubbleSize val="0"/>
        </c:dLbls>
        <c:gapWidth val="219"/>
        <c:axId val="1330908528"/>
        <c:axId val="1266736544"/>
      </c:barChart>
      <c:lineChart>
        <c:grouping val="standard"/>
        <c:varyColors val="0"/>
        <c:ser>
          <c:idx val="13"/>
          <c:order val="13"/>
          <c:tx>
            <c:strRef>
              <c:f>'PS4.03_Ind02'!$B$28</c:f>
              <c:strCache>
                <c:ptCount val="1"/>
                <c:pt idx="0">
                  <c:v>Valor objectiu</c:v>
                </c:pt>
              </c:strCache>
            </c:strRef>
          </c:tx>
          <c:spPr>
            <a:ln w="34925" cap="rnd">
              <a:solidFill>
                <a:schemeClr val="accent2">
                  <a:lumMod val="80000"/>
                  <a:lumOff val="20000"/>
                </a:schemeClr>
              </a:solidFill>
              <a:round/>
            </a:ln>
            <a:effectLst>
              <a:outerShdw blurRad="57150" dist="19050" dir="5400000" algn="ctr" rotWithShape="0">
                <a:srgbClr val="000000">
                  <a:alpha val="63000"/>
                </a:srgbClr>
              </a:outerShdw>
            </a:effectLst>
          </c:spPr>
          <c:marker>
            <c:symbol val="none"/>
          </c:marker>
          <c:cat>
            <c:strRef>
              <c:f>'PS4.03_Ind02'!$G$14:$J$14</c:f>
              <c:strCache>
                <c:ptCount val="4"/>
                <c:pt idx="0">
                  <c:v>2020/2021</c:v>
                </c:pt>
                <c:pt idx="1">
                  <c:v>2021/2022</c:v>
                </c:pt>
                <c:pt idx="2">
                  <c:v>2022/2023</c:v>
                </c:pt>
                <c:pt idx="3">
                  <c:v>2023/2024</c:v>
                </c:pt>
              </c:strCache>
              <c:extLst/>
            </c:strRef>
          </c:cat>
          <c:val>
            <c:numRef>
              <c:f>'PS4.03_Ind02'!$G$28:$J$28</c:f>
              <c:numCache>
                <c:formatCode>0.00%</c:formatCode>
                <c:ptCount val="4"/>
                <c:pt idx="0">
                  <c:v>0.7</c:v>
                </c:pt>
                <c:pt idx="1">
                  <c:v>0.7</c:v>
                </c:pt>
                <c:pt idx="2">
                  <c:v>0.7</c:v>
                </c:pt>
                <c:pt idx="3">
                  <c:v>0.7</c:v>
                </c:pt>
              </c:numCache>
              <c:extLst/>
            </c:numRef>
          </c:val>
          <c:smooth val="0"/>
          <c:extLst>
            <c:ext xmlns:c16="http://schemas.microsoft.com/office/drawing/2014/chart" uri="{C3380CC4-5D6E-409C-BE32-E72D297353CC}">
              <c16:uniqueId val="{0000000D-FC4E-483D-A574-D12A53B3ED78}"/>
            </c:ext>
          </c:extLst>
        </c:ser>
        <c:ser>
          <c:idx val="19"/>
          <c:order val="19"/>
          <c:tx>
            <c:strRef>
              <c:f>'PS4.03_Ind02'!#REF!</c:f>
              <c:strCache>
                <c:ptCount val="1"/>
                <c:pt idx="0">
                  <c:v>#REF!</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Lit>
              <c:ptCount val="4"/>
              <c:pt idx="0">
                <c:v>2020/2021</c:v>
              </c:pt>
              <c:pt idx="1">
                <c:v>2021/2022</c:v>
              </c:pt>
              <c:pt idx="2">
                <c:v>2022/2023</c:v>
              </c:pt>
              <c:pt idx="3">
                <c:v>2023/2024</c:v>
              </c:pt>
              <c:extLst>
                <c:ext xmlns:c15="http://schemas.microsoft.com/office/drawing/2012/chart" uri="{02D57815-91ED-43cb-92C2-25804820EDAC}">
                  <c15:autoCat val="1"/>
                </c:ext>
              </c:extLst>
            </c:strLit>
          </c:cat>
          <c:val>
            <c:numRef>
              <c:f>'PS4.03_Ind02'!#REF!</c:f>
              <c:numCache>
                <c:formatCode>General</c:formatCode>
                <c:ptCount val="1"/>
                <c:pt idx="0">
                  <c:v>1</c:v>
                </c:pt>
              </c:numCache>
            </c:numRef>
          </c:val>
          <c:smooth val="0"/>
          <c:extLst>
            <c:ext xmlns:c16="http://schemas.microsoft.com/office/drawing/2014/chart" uri="{C3380CC4-5D6E-409C-BE32-E72D297353CC}">
              <c16:uniqueId val="{00000013-FC4E-483D-A574-D12A53B3ED78}"/>
            </c:ext>
          </c:extLst>
        </c:ser>
        <c:dLbls>
          <c:showLegendKey val="0"/>
          <c:showVal val="0"/>
          <c:showCatName val="0"/>
          <c:showSerName val="0"/>
          <c:showPercent val="0"/>
          <c:showBubbleSize val="0"/>
        </c:dLbls>
        <c:marker val="1"/>
        <c:smooth val="0"/>
        <c:axId val="1330908528"/>
        <c:axId val="1266736544"/>
      </c:lineChart>
      <c:catAx>
        <c:axId val="13309085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66736544"/>
        <c:crosses val="autoZero"/>
        <c:auto val="1"/>
        <c:lblAlgn val="ctr"/>
        <c:lblOffset val="100"/>
        <c:noMultiLvlLbl val="0"/>
      </c:catAx>
      <c:valAx>
        <c:axId val="1266736544"/>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309085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Percentatge d’hores de docència impartides pel PDI permanent.</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8.9462420960468594E-2"/>
          <c:y val="0.12952122364014843"/>
          <c:w val="0.61207753161241052"/>
          <c:h val="0.7862642169728784"/>
        </c:manualLayout>
      </c:layout>
      <c:barChart>
        <c:barDir val="col"/>
        <c:grouping val="clustered"/>
        <c:varyColors val="0"/>
        <c:ser>
          <c:idx val="0"/>
          <c:order val="0"/>
          <c:tx>
            <c:strRef>
              <c:f>'PS4.03_Ind03'!$B$15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'PS4.03_Ind03'!$F$15:$I$15</c:f>
              <c:numCache>
                <c:formatCode>0.00%</c:formatCode>
                <c:ptCount val="4"/>
                <c:pt idx="0">
                  <c:v>0.41799999999999998</c:v>
                </c:pt>
                <c:pt idx="1">
                  <c:v>0.44019999999999998</c:v>
                </c:pt>
                <c:pt idx="2">
                  <c:v>0.48</c:v>
                </c:pt>
                <c:pt idx="3">
                  <c:v>0.40329999999999999</c:v>
                </c:pt>
              </c:numCache>
              <c:extLst/>
            </c:numRef>
          </c:val>
          <c:extLst>
            <c:ext xmlns:c16="http://schemas.microsoft.com/office/drawing/2014/chart" uri="{C3380CC4-5D6E-409C-BE32-E72D297353CC}">
              <c16:uniqueId val="{00000001-F3E6-4EE0-B646-1854E1BB6A9C}"/>
            </c:ext>
          </c:extLst>
        </c:ser>
        <c:ser>
          <c:idx val="1"/>
          <c:order val="1"/>
          <c:tx>
            <c:strRef>
              <c:f>'PS4.03_Ind03'!$B$16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'PS4.03_Ind03'!$F$16:$I$16</c:f>
              <c:numCache>
                <c:formatCode>0.00%</c:formatCode>
                <c:ptCount val="4"/>
                <c:pt idx="0">
                  <c:v>0.48799999999999999</c:v>
                </c:pt>
                <c:pt idx="1">
                  <c:v>0.4491</c:v>
                </c:pt>
                <c:pt idx="2">
                  <c:v>0</c:v>
                </c:pt>
                <c:pt idx="3">
                  <c:v>0.43</c:v>
                </c:pt>
              </c:numCache>
              <c:extLst/>
            </c:numRef>
          </c:val>
          <c:extLst>
            <c:ext xmlns:c16="http://schemas.microsoft.com/office/drawing/2014/chart" uri="{C3380CC4-5D6E-409C-BE32-E72D297353CC}">
              <c16:uniqueId val="{00000002-F3E6-4EE0-B646-1854E1BB6A9C}"/>
            </c:ext>
          </c:extLst>
        </c:ser>
        <c:ser>
          <c:idx val="2"/>
          <c:order val="2"/>
          <c:tx>
            <c:strRef>
              <c:f>'PS4.03_Ind03'!$B$17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'PS4.03_Ind03'!$F$17:$I$17</c:f>
              <c:numCache>
                <c:formatCode>0.00%</c:formatCode>
                <c:ptCount val="4"/>
                <c:pt idx="0">
                  <c:v>0.38700000000000001</c:v>
                </c:pt>
                <c:pt idx="1">
                  <c:v>0.43730000000000002</c:v>
                </c:pt>
                <c:pt idx="2">
                  <c:v>0.43</c:v>
                </c:pt>
                <c:pt idx="3">
                  <c:v>0.375</c:v>
                </c:pt>
              </c:numCache>
              <c:extLst/>
            </c:numRef>
          </c:val>
          <c:extLst>
            <c:ext xmlns:c16="http://schemas.microsoft.com/office/drawing/2014/chart" uri="{C3380CC4-5D6E-409C-BE32-E72D297353CC}">
              <c16:uniqueId val="{00000003-F3E6-4EE0-B646-1854E1BB6A9C}"/>
            </c:ext>
          </c:extLst>
        </c:ser>
        <c:ser>
          <c:idx val="3"/>
          <c:order val="3"/>
          <c:tx>
            <c:strRef>
              <c:f>'PS4.03_Ind03'!$B$18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'PS4.03_Ind03'!$F$18:$I$18</c:f>
              <c:numCache>
                <c:formatCode>0.00%</c:formatCode>
                <c:ptCount val="4"/>
                <c:pt idx="0">
                  <c:v>0.68400000000000005</c:v>
                </c:pt>
                <c:pt idx="1">
                  <c:v>0.69730000000000003</c:v>
                </c:pt>
                <c:pt idx="2">
                  <c:v>0.64</c:v>
                </c:pt>
                <c:pt idx="3">
                  <c:v>0.59</c:v>
                </c:pt>
              </c:numCache>
              <c:extLst/>
            </c:numRef>
          </c:val>
          <c:extLst>
            <c:ext xmlns:c16="http://schemas.microsoft.com/office/drawing/2014/chart" uri="{C3380CC4-5D6E-409C-BE32-E72D297353CC}">
              <c16:uniqueId val="{00000004-F3E6-4EE0-B646-1854E1BB6A9C}"/>
            </c:ext>
          </c:extLst>
        </c:ser>
        <c:ser>
          <c:idx val="4"/>
          <c:order val="4"/>
          <c:tx>
            <c:strRef>
              <c:f>'PS4.03_Ind03'!$B$19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'PS4.03_Ind03'!$F$19:$I$19</c:f>
              <c:numCache>
                <c:formatCode>0.00%</c:formatCode>
                <c:ptCount val="4"/>
                <c:pt idx="0">
                  <c:v>0.72399999999999998</c:v>
                </c:pt>
                <c:pt idx="1">
                  <c:v>0.74019999999999997</c:v>
                </c:pt>
                <c:pt idx="2">
                  <c:v>0</c:v>
                </c:pt>
                <c:pt idx="3">
                  <c:v>0.66</c:v>
                </c:pt>
              </c:numCache>
              <c:extLst/>
            </c:numRef>
          </c:val>
          <c:extLst>
            <c:ext xmlns:c16="http://schemas.microsoft.com/office/drawing/2014/chart" uri="{C3380CC4-5D6E-409C-BE32-E72D297353CC}">
              <c16:uniqueId val="{00000005-F3E6-4EE0-B646-1854E1BB6A9C}"/>
            </c:ext>
          </c:extLst>
        </c:ser>
        <c:ser>
          <c:idx val="5"/>
          <c:order val="5"/>
          <c:tx>
            <c:strRef>
              <c:f>'PS4.03_Ind03'!$B$20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'PS4.03_Ind03'!$F$20:$I$20</c:f>
              <c:numCache>
                <c:formatCode>0.00%</c:formatCode>
                <c:ptCount val="4"/>
                <c:pt idx="0">
                  <c:v>0.64500000000000002</c:v>
                </c:pt>
                <c:pt idx="1">
                  <c:v>0.57050000000000001</c:v>
                </c:pt>
                <c:pt idx="2">
                  <c:v>0</c:v>
                </c:pt>
                <c:pt idx="3">
                  <c:v>0.59</c:v>
                </c:pt>
              </c:numCache>
              <c:extLst/>
            </c:numRef>
          </c:val>
          <c:extLst>
            <c:ext xmlns:c16="http://schemas.microsoft.com/office/drawing/2014/chart" uri="{C3380CC4-5D6E-409C-BE32-E72D297353CC}">
              <c16:uniqueId val="{00000006-F3E6-4EE0-B646-1854E1BB6A9C}"/>
            </c:ext>
          </c:extLst>
        </c:ser>
        <c:ser>
          <c:idx val="6"/>
          <c:order val="6"/>
          <c:tx>
            <c:strRef>
              <c:f>'PS4.03_Ind03'!$B$21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'PS4.03_Ind03'!$F$21:$I$21</c:f>
              <c:numCache>
                <c:formatCode>0.00%</c:formatCode>
                <c:ptCount val="4"/>
                <c:pt idx="0">
                  <c:v>0.53300000000000003</c:v>
                </c:pt>
                <c:pt idx="1">
                  <c:v>0.48099999999999998</c:v>
                </c:pt>
                <c:pt idx="2">
                  <c:v>0.67</c:v>
                </c:pt>
                <c:pt idx="3">
                  <c:v>0.54</c:v>
                </c:pt>
              </c:numCache>
              <c:extLst/>
            </c:numRef>
          </c:val>
          <c:extLst>
            <c:ext xmlns:c16="http://schemas.microsoft.com/office/drawing/2014/chart" uri="{C3380CC4-5D6E-409C-BE32-E72D297353CC}">
              <c16:uniqueId val="{00000007-F3E6-4EE0-B646-1854E1BB6A9C}"/>
            </c:ext>
          </c:extLst>
        </c:ser>
        <c:ser>
          <c:idx val="7"/>
          <c:order val="7"/>
          <c:tx>
            <c:strRef>
              <c:f>'PS4.03_Ind03'!$B$22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'PS4.03_Ind03'!$F$22:$I$22</c:f>
              <c:numCache>
                <c:formatCode>0.00%</c:formatCode>
                <c:ptCount val="4"/>
                <c:pt idx="0">
                  <c:v>0.63400000000000001</c:v>
                </c:pt>
                <c:pt idx="1">
                  <c:v>0.6724</c:v>
                </c:pt>
                <c:pt idx="2">
                  <c:v>0.46</c:v>
                </c:pt>
                <c:pt idx="3">
                  <c:v>0.61</c:v>
                </c:pt>
              </c:numCache>
              <c:extLst/>
            </c:numRef>
          </c:val>
          <c:extLst>
            <c:ext xmlns:c16="http://schemas.microsoft.com/office/drawing/2014/chart" uri="{C3380CC4-5D6E-409C-BE32-E72D297353CC}">
              <c16:uniqueId val="{00000008-F3E6-4EE0-B646-1854E1BB6A9C}"/>
            </c:ext>
          </c:extLst>
        </c:ser>
        <c:ser>
          <c:idx val="8"/>
          <c:order val="8"/>
          <c:tx>
            <c:strRef>
              <c:f>'PS4.03_Ind03'!$B$23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'PS4.03_Ind03'!$F$23:$I$23</c:f>
              <c:numCache>
                <c:formatCode>0.00%</c:formatCode>
                <c:ptCount val="4"/>
                <c:pt idx="0">
                  <c:v>0.752</c:v>
                </c:pt>
                <c:pt idx="1">
                  <c:v>0.7702</c:v>
                </c:pt>
                <c:pt idx="2">
                  <c:v>0.78</c:v>
                </c:pt>
                <c:pt idx="3">
                  <c:v>0.7</c:v>
                </c:pt>
              </c:numCache>
              <c:extLst/>
            </c:numRef>
          </c:val>
          <c:extLst>
            <c:ext xmlns:c16="http://schemas.microsoft.com/office/drawing/2014/chart" uri="{C3380CC4-5D6E-409C-BE32-E72D297353CC}">
              <c16:uniqueId val="{00000009-F3E6-4EE0-B646-1854E1BB6A9C}"/>
            </c:ext>
          </c:extLst>
        </c:ser>
        <c:ser>
          <c:idx val="9"/>
          <c:order val="9"/>
          <c:tx>
            <c:strRef>
              <c:f>'PS4.03_Ind03'!$B$24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'PS4.03_Ind03'!$F$24:$I$24</c:f>
              <c:numCache>
                <c:formatCode>0.00%</c:formatCode>
                <c:ptCount val="4"/>
                <c:pt idx="0">
                  <c:v>0.51800000000000002</c:v>
                </c:pt>
                <c:pt idx="1">
                  <c:v>0.57789999999999997</c:v>
                </c:pt>
                <c:pt idx="2">
                  <c:v>0.67</c:v>
                </c:pt>
                <c:pt idx="3">
                  <c:v>0.54</c:v>
                </c:pt>
              </c:numCache>
              <c:extLst/>
            </c:numRef>
          </c:val>
          <c:extLst>
            <c:ext xmlns:c16="http://schemas.microsoft.com/office/drawing/2014/chart" uri="{C3380CC4-5D6E-409C-BE32-E72D297353CC}">
              <c16:uniqueId val="{0000000A-F3E6-4EE0-B646-1854E1BB6A9C}"/>
            </c:ext>
          </c:extLst>
        </c:ser>
        <c:ser>
          <c:idx val="10"/>
          <c:order val="10"/>
          <c:tx>
            <c:strRef>
              <c:f>'PS4.03_Ind03'!$B$25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'PS4.03_Ind03'!$F$25:$I$25</c:f>
              <c:numCache>
                <c:formatCode>0.00%</c:formatCode>
                <c:ptCount val="4"/>
                <c:pt idx="0">
                  <c:v>0.59399999999999997</c:v>
                </c:pt>
                <c:pt idx="1">
                  <c:v>0.51829999999999998</c:v>
                </c:pt>
                <c:pt idx="2">
                  <c:v>0.57999999999999996</c:v>
                </c:pt>
                <c:pt idx="3">
                  <c:v>0.59</c:v>
                </c:pt>
              </c:numCache>
              <c:extLst/>
            </c:numRef>
          </c:val>
          <c:extLst>
            <c:ext xmlns:c16="http://schemas.microsoft.com/office/drawing/2014/chart" uri="{C3380CC4-5D6E-409C-BE32-E72D297353CC}">
              <c16:uniqueId val="{0000000C-F3E6-4EE0-B646-1854E1BB6A9C}"/>
            </c:ext>
          </c:extLst>
        </c:ser>
        <c:ser>
          <c:idx val="11"/>
          <c:order val="11"/>
          <c:tx>
            <c:strRef>
              <c:f>'PS4.03_Ind03'!#REF!</c:f>
              <c:strCache>
                <c:ptCount val="1"/>
                <c:pt idx="0">
                  <c:v>#¡REF!</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0D-F3E6-4EE0-B646-1854E1BB6A9C}"/>
            </c:ext>
          </c:extLst>
        </c:ser>
        <c:ser>
          <c:idx val="12"/>
          <c:order val="12"/>
          <c:tx>
            <c:strRef>
              <c:f>'PS4.03_Ind03'!#REF!</c:f>
              <c:strCache>
                <c:ptCount val="1"/>
                <c:pt idx="0">
                  <c:v>#¡REF!</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0E-F3E6-4EE0-B646-1854E1BB6A9C}"/>
            </c:ext>
          </c:extLst>
        </c:ser>
        <c:ser>
          <c:idx val="13"/>
          <c:order val="13"/>
          <c:tx>
            <c:strRef>
              <c:f>'PS4.03_Ind03'!#REF!</c:f>
              <c:strCache>
                <c:ptCount val="1"/>
                <c:pt idx="0">
                  <c:v>#¡REF!</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0F-F3E6-4EE0-B646-1854E1BB6A9C}"/>
            </c:ext>
          </c:extLst>
        </c:ser>
        <c:ser>
          <c:idx val="14"/>
          <c:order val="14"/>
          <c:tx>
            <c:strRef>
              <c:f>'PS4.03_Ind03'!#REF!</c:f>
              <c:strCache>
                <c:ptCount val="1"/>
                <c:pt idx="0">
                  <c:v>#¡REF!</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10-F3E6-4EE0-B646-1854E1BB6A9C}"/>
            </c:ext>
          </c:extLst>
        </c:ser>
        <c:ser>
          <c:idx val="15"/>
          <c:order val="15"/>
          <c:tx>
            <c:strRef>
              <c:f>'PS4.03_Ind03'!#REF!</c:f>
              <c:strCache>
                <c:ptCount val="1"/>
                <c:pt idx="0">
                  <c:v>#¡REF!</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11-F3E6-4EE0-B646-1854E1BB6A9C}"/>
            </c:ext>
          </c:extLst>
        </c:ser>
        <c:ser>
          <c:idx val="16"/>
          <c:order val="16"/>
          <c:tx>
            <c:strRef>
              <c:f>'PS4.03_Ind03'!#REF!</c:f>
              <c:strCache>
                <c:ptCount val="1"/>
                <c:pt idx="0">
                  <c:v>#¡REF!</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12-F3E6-4EE0-B646-1854E1BB6A9C}"/>
            </c:ext>
          </c:extLst>
        </c:ser>
        <c:dLbls>
          <c:showLegendKey val="0"/>
          <c:showVal val="0"/>
          <c:showCatName val="0"/>
          <c:showSerName val="0"/>
          <c:showPercent val="0"/>
          <c:showBubbleSize val="0"/>
        </c:dLbls>
        <c:gapWidth val="219"/>
        <c:axId val="1377754480"/>
        <c:axId val="1765698976"/>
      </c:barChart>
      <c:lineChart>
        <c:grouping val="standard"/>
        <c:varyColors val="0"/>
        <c:ser>
          <c:idx val="17"/>
          <c:order val="17"/>
          <c:tx>
            <c:strRef>
              <c:f>'PS4.03_Ind03'!$B$28</c:f>
              <c:strCache>
                <c:ptCount val="1"/>
                <c:pt idx="0">
                  <c:v>Valor objectiu</c:v>
                </c:pt>
              </c:strCache>
            </c:strRef>
          </c:tx>
          <c:spPr>
            <a:ln w="34925" cap="rnd">
              <a:solidFill>
                <a:schemeClr val="accent6">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9525">
                <a:solidFill>
                  <a:schemeClr val="accent6">
                    <a:lumMod val="80000"/>
                    <a:lumOff val="20000"/>
                  </a:schemeClr>
                </a:solidFill>
                <a:round/>
              </a:ln>
              <a:effectLst>
                <a:outerShdw blurRad="57150" dist="19050" dir="5400000" algn="ctr" rotWithShape="0">
                  <a:srgbClr val="000000">
                    <a:alpha val="63000"/>
                  </a:srgbClr>
                </a:outerShdw>
              </a:effectLst>
            </c:spPr>
          </c:marker>
          <c:cat>
            <c:strRef>
              <c:f>'PS4.03_Ind03'!$D$14:$G$14</c:f>
              <c:strCache>
                <c:ptCount val="4"/>
                <c:pt idx="0">
                  <c:v>2018/2019</c:v>
                </c:pt>
                <c:pt idx="1">
                  <c:v>2019/2020</c:v>
                </c:pt>
                <c:pt idx="2">
                  <c:v>2020/2021</c:v>
                </c:pt>
                <c:pt idx="3">
                  <c:v>2021/2022</c:v>
                </c:pt>
              </c:strCache>
              <c:extLst/>
            </c:strRef>
          </c:cat>
          <c:val>
            <c:numRef>
              <c:f>'PS4.03_Ind03'!$D$28:$G$28</c:f>
              <c:numCache>
                <c:formatCode>0.00%</c:formatCode>
                <c:ptCount val="4"/>
                <c:pt idx="0">
                  <c:v>0.55000000000000004</c:v>
                </c:pt>
                <c:pt idx="1">
                  <c:v>0.55000000000000004</c:v>
                </c:pt>
                <c:pt idx="2">
                  <c:v>0.55000000000000004</c:v>
                </c:pt>
                <c:pt idx="3">
                  <c:v>0.55000000000000004</c:v>
                </c:pt>
              </c:numCache>
              <c:extLst/>
            </c:numRef>
          </c:val>
          <c:smooth val="0"/>
          <c:extLst>
            <c:ext xmlns:c16="http://schemas.microsoft.com/office/drawing/2014/chart" uri="{C3380CC4-5D6E-409C-BE32-E72D297353CC}">
              <c16:uniqueId val="{00000013-F3E6-4EE0-B646-1854E1BB6A9C}"/>
            </c:ext>
          </c:extLst>
        </c:ser>
        <c:dLbls>
          <c:showLegendKey val="0"/>
          <c:showVal val="0"/>
          <c:showCatName val="0"/>
          <c:showSerName val="0"/>
          <c:showPercent val="0"/>
          <c:showBubbleSize val="0"/>
        </c:dLbls>
        <c:marker val="1"/>
        <c:smooth val="0"/>
        <c:axId val="1377754480"/>
        <c:axId val="1765698976"/>
      </c:lineChart>
      <c:catAx>
        <c:axId val="13777544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65698976"/>
        <c:crosses val="autoZero"/>
        <c:auto val="1"/>
        <c:lblAlgn val="ctr"/>
        <c:lblOffset val="100"/>
        <c:noMultiLvlLbl val="0"/>
      </c:catAx>
      <c:valAx>
        <c:axId val="1765698976"/>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77754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000" b="1">
                <a:effectLst/>
              </a:rPr>
              <a:t>PS4.03_Ind04. </a:t>
            </a:r>
            <a:r>
              <a:rPr lang="ca-ES" sz="1000" b="1">
                <a:effectLst/>
              </a:rPr>
              <a:t>Valoració mitjana per titulació a l’afirmació “Estic satisfet/a amb el professorat”, de l’enquesta de satisfacció dels titulats i titulades</a:t>
            </a:r>
            <a:endParaRPr lang="ca-ES" sz="10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'PS4.03_Ind04'!$B$38</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'PS4.03_Ind04'!$C$38:$E$38</c:f>
              <c:numCache>
                <c:formatCode>General</c:formatCode>
                <c:ptCount val="3"/>
              </c:numCache>
            </c:numRef>
          </c:val>
          <c:extLst>
            <c:ext xmlns:c16="http://schemas.microsoft.com/office/drawing/2014/chart" uri="{C3380CC4-5D6E-409C-BE32-E72D297353CC}">
              <c16:uniqueId val="{00000000-9950-4A87-946E-73EE68DFD6FB}"/>
            </c:ext>
          </c:extLst>
        </c:ser>
        <c:ser>
          <c:idx val="1"/>
          <c:order val="1"/>
          <c:tx>
            <c:strRef>
              <c:f>'PS4.03_Ind04'!$B$15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'PS4.03_Ind04'!$F$15:$I$15</c:f>
              <c:numCache>
                <c:formatCode>0.00</c:formatCode>
                <c:ptCount val="4"/>
                <c:pt idx="0">
                  <c:v>3.6</c:v>
                </c:pt>
                <c:pt idx="1">
                  <c:v>3.6</c:v>
                </c:pt>
                <c:pt idx="2">
                  <c:v>3.47</c:v>
                </c:pt>
                <c:pt idx="3" formatCode="General">
                  <c:v>3.62</c:v>
                </c:pt>
              </c:numCache>
            </c:numRef>
          </c:val>
          <c:extLst>
            <c:ext xmlns:c16="http://schemas.microsoft.com/office/drawing/2014/chart" uri="{C3380CC4-5D6E-409C-BE32-E72D297353CC}">
              <c16:uniqueId val="{00000001-9950-4A87-946E-73EE68DFD6FB}"/>
            </c:ext>
          </c:extLst>
        </c:ser>
        <c:ser>
          <c:idx val="2"/>
          <c:order val="2"/>
          <c:tx>
            <c:strRef>
              <c:f>'PS4.03_Ind04'!$B$16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'PS4.03_Ind04'!$F$16:$I$16</c:f>
              <c:numCache>
                <c:formatCode>0.00</c:formatCode>
                <c:ptCount val="4"/>
                <c:pt idx="0">
                  <c:v>0</c:v>
                </c:pt>
                <c:pt idx="1">
                  <c:v>0</c:v>
                </c:pt>
                <c:pt idx="2">
                  <c:v>3.86</c:v>
                </c:pt>
                <c:pt idx="3" formatCode="General">
                  <c:v>3.43</c:v>
                </c:pt>
              </c:numCache>
            </c:numRef>
          </c:val>
          <c:extLst>
            <c:ext xmlns:c16="http://schemas.microsoft.com/office/drawing/2014/chart" uri="{C3380CC4-5D6E-409C-BE32-E72D297353CC}">
              <c16:uniqueId val="{00000002-9950-4A87-946E-73EE68DFD6FB}"/>
            </c:ext>
          </c:extLst>
        </c:ser>
        <c:ser>
          <c:idx val="3"/>
          <c:order val="3"/>
          <c:tx>
            <c:strRef>
              <c:f>'PS4.03_Ind04'!$B$17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'PS4.03_Ind04'!$F$17:$I$17</c:f>
              <c:numCache>
                <c:formatCode>0.00</c:formatCode>
                <c:ptCount val="4"/>
                <c:pt idx="0">
                  <c:v>3.4</c:v>
                </c:pt>
                <c:pt idx="1">
                  <c:v>4</c:v>
                </c:pt>
                <c:pt idx="2">
                  <c:v>3.33</c:v>
                </c:pt>
                <c:pt idx="3" formatCode="General">
                  <c:v>3.33</c:v>
                </c:pt>
              </c:numCache>
            </c:numRef>
          </c:val>
          <c:extLst>
            <c:ext xmlns:c16="http://schemas.microsoft.com/office/drawing/2014/chart" uri="{C3380CC4-5D6E-409C-BE32-E72D297353CC}">
              <c16:uniqueId val="{00000003-9950-4A87-946E-73EE68DFD6FB}"/>
            </c:ext>
          </c:extLst>
        </c:ser>
        <c:ser>
          <c:idx val="4"/>
          <c:order val="4"/>
          <c:tx>
            <c:strRef>
              <c:f>'PS4.03_Ind04'!$B$18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'PS4.03_Ind04'!$F$18:$I$18</c:f>
              <c:numCache>
                <c:formatCode>0.00</c:formatCode>
                <c:ptCount val="4"/>
                <c:pt idx="0">
                  <c:v>3.83</c:v>
                </c:pt>
                <c:pt idx="1">
                  <c:v>2.5</c:v>
                </c:pt>
                <c:pt idx="2">
                  <c:v>3.33</c:v>
                </c:pt>
                <c:pt idx="3" formatCode="General">
                  <c:v>3.27</c:v>
                </c:pt>
              </c:numCache>
            </c:numRef>
          </c:val>
          <c:extLst>
            <c:ext xmlns:c16="http://schemas.microsoft.com/office/drawing/2014/chart" uri="{C3380CC4-5D6E-409C-BE32-E72D297353CC}">
              <c16:uniqueId val="{00000004-9950-4A87-946E-73EE68DFD6FB}"/>
            </c:ext>
          </c:extLst>
        </c:ser>
        <c:ser>
          <c:idx val="5"/>
          <c:order val="5"/>
          <c:tx>
            <c:strRef>
              <c:f>'PS4.03_Ind04'!$B$19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'PS4.03_Ind04'!$F$19:$I$19</c:f>
              <c:numCache>
                <c:formatCode>0.00</c:formatCode>
                <c:ptCount val="4"/>
                <c:pt idx="0">
                  <c:v>3.15</c:v>
                </c:pt>
                <c:pt idx="1">
                  <c:v>2.67</c:v>
                </c:pt>
                <c:pt idx="2">
                  <c:v>3.56</c:v>
                </c:pt>
                <c:pt idx="3" formatCode="General">
                  <c:v>3.57</c:v>
                </c:pt>
              </c:numCache>
            </c:numRef>
          </c:val>
          <c:extLst>
            <c:ext xmlns:c16="http://schemas.microsoft.com/office/drawing/2014/chart" uri="{C3380CC4-5D6E-409C-BE32-E72D297353CC}">
              <c16:uniqueId val="{00000005-9950-4A87-946E-73EE68DFD6FB}"/>
            </c:ext>
          </c:extLst>
        </c:ser>
        <c:ser>
          <c:idx val="6"/>
          <c:order val="6"/>
          <c:tx>
            <c:strRef>
              <c:f>'PS4.03_Ind04'!$B$20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'PS4.03_Ind04'!$F$20:$I$20</c:f>
              <c:numCache>
                <c:formatCode>0.00</c:formatCode>
                <c:ptCount val="4"/>
                <c:pt idx="0">
                  <c:v>0</c:v>
                </c:pt>
                <c:pt idx="1">
                  <c:v>3</c:v>
                </c:pt>
                <c:pt idx="2">
                  <c:v>3.63</c:v>
                </c:pt>
                <c:pt idx="3" formatCode="General">
                  <c:v>3.5</c:v>
                </c:pt>
              </c:numCache>
            </c:numRef>
          </c:val>
          <c:extLst>
            <c:ext xmlns:c16="http://schemas.microsoft.com/office/drawing/2014/chart" uri="{C3380CC4-5D6E-409C-BE32-E72D297353CC}">
              <c16:uniqueId val="{00000006-9950-4A87-946E-73EE68DFD6FB}"/>
            </c:ext>
          </c:extLst>
        </c:ser>
        <c:ser>
          <c:idx val="7"/>
          <c:order val="7"/>
          <c:tx>
            <c:strRef>
              <c:f>'PS4.03_Ind04'!$B$21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'PS4.03_Ind04'!$F$21:$I$21</c:f>
              <c:numCache>
                <c:formatCode>0.00</c:formatCode>
                <c:ptCount val="4"/>
                <c:pt idx="0">
                  <c:v>0</c:v>
                </c:pt>
                <c:pt idx="1">
                  <c:v>3.5</c:v>
                </c:pt>
                <c:pt idx="2">
                  <c:v>3.86</c:v>
                </c:pt>
                <c:pt idx="3" formatCode="General">
                  <c:v>0</c:v>
                </c:pt>
              </c:numCache>
            </c:numRef>
          </c:val>
          <c:extLst>
            <c:ext xmlns:c16="http://schemas.microsoft.com/office/drawing/2014/chart" uri="{C3380CC4-5D6E-409C-BE32-E72D297353CC}">
              <c16:uniqueId val="{00000007-9950-4A87-946E-73EE68DFD6FB}"/>
            </c:ext>
          </c:extLst>
        </c:ser>
        <c:ser>
          <c:idx val="8"/>
          <c:order val="8"/>
          <c:tx>
            <c:strRef>
              <c:f>'PS4.03_Ind04'!$B$22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'PS4.03_Ind04'!$F$22:$I$22</c:f>
              <c:numCache>
                <c:formatCode>0.00</c:formatCode>
                <c:ptCount val="4"/>
                <c:pt idx="0">
                  <c:v>0</c:v>
                </c:pt>
                <c:pt idx="1">
                  <c:v>0</c:v>
                </c:pt>
                <c:pt idx="2">
                  <c:v>4.8600000000000003</c:v>
                </c:pt>
                <c:pt idx="3" formatCode="General">
                  <c:v>3.77</c:v>
                </c:pt>
              </c:numCache>
            </c:numRef>
          </c:val>
          <c:extLst>
            <c:ext xmlns:c16="http://schemas.microsoft.com/office/drawing/2014/chart" uri="{C3380CC4-5D6E-409C-BE32-E72D297353CC}">
              <c16:uniqueId val="{00000008-9950-4A87-946E-73EE68DFD6FB}"/>
            </c:ext>
          </c:extLst>
        </c:ser>
        <c:ser>
          <c:idx val="9"/>
          <c:order val="9"/>
          <c:tx>
            <c:strRef>
              <c:f>'PS4.03_Ind04'!$B$23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'PS4.03_Ind04'!$F$23:$I$23</c:f>
              <c:numCache>
                <c:formatCode>0.00</c:formatCode>
                <c:ptCount val="4"/>
                <c:pt idx="0">
                  <c:v>3.55</c:v>
                </c:pt>
                <c:pt idx="1">
                  <c:v>3.2</c:v>
                </c:pt>
                <c:pt idx="2">
                  <c:v>4.03</c:v>
                </c:pt>
                <c:pt idx="3" formatCode="General">
                  <c:v>4</c:v>
                </c:pt>
              </c:numCache>
            </c:numRef>
          </c:val>
          <c:extLst>
            <c:ext xmlns:c16="http://schemas.microsoft.com/office/drawing/2014/chart" uri="{C3380CC4-5D6E-409C-BE32-E72D297353CC}">
              <c16:uniqueId val="{00000009-9950-4A87-946E-73EE68DFD6FB}"/>
            </c:ext>
          </c:extLst>
        </c:ser>
        <c:ser>
          <c:idx val="10"/>
          <c:order val="10"/>
          <c:tx>
            <c:strRef>
              <c:f>'PS4.03_Ind04'!$B$24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'PS4.03_Ind04'!$F$24:$I$24</c:f>
              <c:numCache>
                <c:formatCode>0.00</c:formatCode>
                <c:ptCount val="4"/>
                <c:pt idx="0">
                  <c:v>3.4</c:v>
                </c:pt>
                <c:pt idx="1">
                  <c:v>3</c:v>
                </c:pt>
                <c:pt idx="2">
                  <c:v>3.64</c:v>
                </c:pt>
                <c:pt idx="3" formatCode="General">
                  <c:v>3.47</c:v>
                </c:pt>
              </c:numCache>
            </c:numRef>
          </c:val>
          <c:extLst>
            <c:ext xmlns:c16="http://schemas.microsoft.com/office/drawing/2014/chart" uri="{C3380CC4-5D6E-409C-BE32-E72D297353CC}">
              <c16:uniqueId val="{0000000A-9950-4A87-946E-73EE68DFD6FB}"/>
            </c:ext>
          </c:extLst>
        </c:ser>
        <c:ser>
          <c:idx val="11"/>
          <c:order val="11"/>
          <c:tx>
            <c:strRef>
              <c:f>'PS4.03_Ind04'!$B$25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'PS4.03_Ind04'!$F$25:$I$25</c:f>
              <c:numCache>
                <c:formatCode>0.00</c:formatCode>
                <c:ptCount val="4"/>
                <c:pt idx="0">
                  <c:v>3.17</c:v>
                </c:pt>
                <c:pt idx="1">
                  <c:v>4</c:v>
                </c:pt>
                <c:pt idx="2">
                  <c:v>3.32</c:v>
                </c:pt>
                <c:pt idx="3" formatCode="General">
                  <c:v>3.65</c:v>
                </c:pt>
              </c:numCache>
            </c:numRef>
          </c:val>
          <c:extLst>
            <c:ext xmlns:c16="http://schemas.microsoft.com/office/drawing/2014/chart" uri="{C3380CC4-5D6E-409C-BE32-E72D297353CC}">
              <c16:uniqueId val="{0000000B-9950-4A87-946E-73EE68DFD6FB}"/>
            </c:ext>
          </c:extLst>
        </c:ser>
        <c:ser>
          <c:idx val="12"/>
          <c:order val="12"/>
          <c:tx>
            <c:strRef>
              <c:f>'PS4.03_Ind04'!$B$26</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'PS4.03_Ind04'!$F$26:$I$26</c:f>
              <c:numCache>
                <c:formatCode>0.00</c:formatCode>
                <c:ptCount val="4"/>
                <c:pt idx="0">
                  <c:v>3.83</c:v>
                </c:pt>
                <c:pt idx="1">
                  <c:v>0</c:v>
                </c:pt>
                <c:pt idx="2">
                  <c:v>3.72</c:v>
                </c:pt>
                <c:pt idx="3" formatCode="General">
                  <c:v>3</c:v>
                </c:pt>
              </c:numCache>
            </c:numRef>
          </c:val>
          <c:extLst>
            <c:ext xmlns:c16="http://schemas.microsoft.com/office/drawing/2014/chart" uri="{C3380CC4-5D6E-409C-BE32-E72D297353CC}">
              <c16:uniqueId val="{0000000C-9950-4A87-946E-73EE68DFD6FB}"/>
            </c:ext>
          </c:extLst>
        </c:ser>
        <c:ser>
          <c:idx val="13"/>
          <c:order val="13"/>
          <c:tx>
            <c:strRef>
              <c:f>'PS4.03_Ind04'!$B$27</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'PS4.03_Ind04'!$F$27:$I$27</c:f>
              <c:numCache>
                <c:formatCode>0.00</c:formatCode>
                <c:ptCount val="4"/>
                <c:pt idx="0">
                  <c:v>0</c:v>
                </c:pt>
                <c:pt idx="1">
                  <c:v>0</c:v>
                </c:pt>
                <c:pt idx="2">
                  <c:v>3.75</c:v>
                </c:pt>
                <c:pt idx="3" formatCode="General">
                  <c:v>0</c:v>
                </c:pt>
              </c:numCache>
            </c:numRef>
          </c:val>
          <c:extLst>
            <c:ext xmlns:c16="http://schemas.microsoft.com/office/drawing/2014/chart" uri="{C3380CC4-5D6E-409C-BE32-E72D297353CC}">
              <c16:uniqueId val="{0000000D-9950-4A87-946E-73EE68DFD6FB}"/>
            </c:ext>
          </c:extLst>
        </c:ser>
        <c:ser>
          <c:idx val="14"/>
          <c:order val="14"/>
          <c:tx>
            <c:strRef>
              <c:f>'PS4.03_Ind04'!$B$28</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'PS4.03_Ind04'!$F$28:$I$28</c:f>
              <c:numCache>
                <c:formatCode>0.00</c:formatCode>
                <c:ptCount val="4"/>
                <c:pt idx="0">
                  <c:v>4.22</c:v>
                </c:pt>
                <c:pt idx="1">
                  <c:v>0</c:v>
                </c:pt>
                <c:pt idx="2">
                  <c:v>4.09</c:v>
                </c:pt>
                <c:pt idx="3" formatCode="General">
                  <c:v>4.4000000000000004</c:v>
                </c:pt>
              </c:numCache>
            </c:numRef>
          </c:val>
          <c:extLst>
            <c:ext xmlns:c16="http://schemas.microsoft.com/office/drawing/2014/chart" uri="{C3380CC4-5D6E-409C-BE32-E72D297353CC}">
              <c16:uniqueId val="{0000000E-9950-4A87-946E-73EE68DFD6FB}"/>
            </c:ext>
          </c:extLst>
        </c:ser>
        <c:ser>
          <c:idx val="15"/>
          <c:order val="15"/>
          <c:tx>
            <c:strRef>
              <c:f>'PS4.03_Ind04'!$B$29</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'PS4.03_Ind04'!$F$29:$I$29</c:f>
              <c:numCache>
                <c:formatCode>0.00</c:formatCode>
                <c:ptCount val="4"/>
                <c:pt idx="0">
                  <c:v>0</c:v>
                </c:pt>
                <c:pt idx="1">
                  <c:v>2</c:v>
                </c:pt>
                <c:pt idx="2">
                  <c:v>3</c:v>
                </c:pt>
                <c:pt idx="3" formatCode="General">
                  <c:v>3.9</c:v>
                </c:pt>
              </c:numCache>
            </c:numRef>
          </c:val>
          <c:extLst>
            <c:ext xmlns:c16="http://schemas.microsoft.com/office/drawing/2014/chart" uri="{C3380CC4-5D6E-409C-BE32-E72D297353CC}">
              <c16:uniqueId val="{0000000F-9950-4A87-946E-73EE68DFD6FB}"/>
            </c:ext>
          </c:extLst>
        </c:ser>
        <c:ser>
          <c:idx val="16"/>
          <c:order val="16"/>
          <c:tx>
            <c:strRef>
              <c:f>'PS4.03_Ind04'!$B$30</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'PS4.03_Ind04'!$F$30:$I$30</c:f>
              <c:numCache>
                <c:formatCode>0.00</c:formatCode>
                <c:ptCount val="4"/>
                <c:pt idx="0">
                  <c:v>0</c:v>
                </c:pt>
                <c:pt idx="1">
                  <c:v>3</c:v>
                </c:pt>
                <c:pt idx="2">
                  <c:v>3.78</c:v>
                </c:pt>
                <c:pt idx="3" formatCode="General">
                  <c:v>0</c:v>
                </c:pt>
              </c:numCache>
            </c:numRef>
          </c:val>
          <c:extLst>
            <c:ext xmlns:c16="http://schemas.microsoft.com/office/drawing/2014/chart" uri="{C3380CC4-5D6E-409C-BE32-E72D297353CC}">
              <c16:uniqueId val="{00000010-9950-4A87-946E-73EE68DFD6FB}"/>
            </c:ext>
          </c:extLst>
        </c:ser>
        <c:ser>
          <c:idx val="17"/>
          <c:order val="17"/>
          <c:tx>
            <c:strRef>
              <c:f>'PS4.03_Ind04'!$B$31</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'PS4.03_Ind04'!$F$31:$I$31</c:f>
              <c:numCache>
                <c:formatCode>0.00</c:formatCode>
                <c:ptCount val="4"/>
                <c:pt idx="0">
                  <c:v>0</c:v>
                </c:pt>
                <c:pt idx="1">
                  <c:v>0</c:v>
                </c:pt>
                <c:pt idx="2">
                  <c:v>0</c:v>
                </c:pt>
                <c:pt idx="3" formatCode="General">
                  <c:v>0</c:v>
                </c:pt>
              </c:numCache>
            </c:numRef>
          </c:val>
          <c:extLst>
            <c:ext xmlns:c16="http://schemas.microsoft.com/office/drawing/2014/chart" uri="{C3380CC4-5D6E-409C-BE32-E72D297353CC}">
              <c16:uniqueId val="{00000011-9950-4A87-946E-73EE68DFD6FB}"/>
            </c:ext>
          </c:extLst>
        </c:ser>
        <c:ser>
          <c:idx val="18"/>
          <c:order val="18"/>
          <c:tx>
            <c:strRef>
              <c:f>'PS4.03_Ind04'!$B$32</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'PS4.03_Ind04'!$F$32:$I$32</c:f>
              <c:numCache>
                <c:formatCode>0.00</c:formatCode>
                <c:ptCount val="4"/>
                <c:pt idx="0">
                  <c:v>0</c:v>
                </c:pt>
                <c:pt idx="1">
                  <c:v>2.67</c:v>
                </c:pt>
                <c:pt idx="2">
                  <c:v>3.77</c:v>
                </c:pt>
                <c:pt idx="3" formatCode="General">
                  <c:v>0</c:v>
                </c:pt>
              </c:numCache>
            </c:numRef>
          </c:val>
          <c:extLst>
            <c:ext xmlns:c16="http://schemas.microsoft.com/office/drawing/2014/chart" uri="{C3380CC4-5D6E-409C-BE32-E72D297353CC}">
              <c16:uniqueId val="{00000012-9950-4A87-946E-73EE68DFD6FB}"/>
            </c:ext>
          </c:extLst>
        </c:ser>
        <c:dLbls>
          <c:showLegendKey val="0"/>
          <c:showVal val="0"/>
          <c:showCatName val="0"/>
          <c:showSerName val="0"/>
          <c:showPercent val="0"/>
          <c:showBubbleSize val="0"/>
        </c:dLbls>
        <c:gapWidth val="219"/>
        <c:axId val="1277570320"/>
        <c:axId val="884893568"/>
      </c:barChart>
      <c:lineChart>
        <c:grouping val="standard"/>
        <c:varyColors val="0"/>
        <c:ser>
          <c:idx val="19"/>
          <c:order val="19"/>
          <c:tx>
            <c:strRef>
              <c:f>'PS4.03_Ind04'!$B$35</c:f>
              <c:strCache>
                <c:ptCount val="1"/>
                <c:pt idx="0">
                  <c:v>Valor objectiu</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Ref>
              <c:f>'PS4.03_Ind04'!$F$14:$I$14</c:f>
              <c:strCache>
                <c:ptCount val="4"/>
                <c:pt idx="0">
                  <c:v>2019/2020</c:v>
                </c:pt>
                <c:pt idx="1">
                  <c:v>2020/2021</c:v>
                </c:pt>
                <c:pt idx="2">
                  <c:v>2021/2022</c:v>
                </c:pt>
                <c:pt idx="3">
                  <c:v>2022/2023</c:v>
                </c:pt>
              </c:strCache>
            </c:strRef>
          </c:cat>
          <c:val>
            <c:numRef>
              <c:f>'PS4.03_Ind04'!$F$35:$I$35</c:f>
              <c:numCache>
                <c:formatCode>0.00</c:formatCode>
                <c:ptCount val="4"/>
                <c:pt idx="0">
                  <c:v>3</c:v>
                </c:pt>
                <c:pt idx="1">
                  <c:v>3</c:v>
                </c:pt>
                <c:pt idx="2">
                  <c:v>3</c:v>
                </c:pt>
                <c:pt idx="3">
                  <c:v>3</c:v>
                </c:pt>
              </c:numCache>
            </c:numRef>
          </c:val>
          <c:smooth val="0"/>
          <c:extLst>
            <c:ext xmlns:c16="http://schemas.microsoft.com/office/drawing/2014/chart" uri="{C3380CC4-5D6E-409C-BE32-E72D297353CC}">
              <c16:uniqueId val="{00000013-9950-4A87-946E-73EE68DFD6FB}"/>
            </c:ext>
          </c:extLst>
        </c:ser>
        <c:dLbls>
          <c:showLegendKey val="0"/>
          <c:showVal val="0"/>
          <c:showCatName val="0"/>
          <c:showSerName val="0"/>
          <c:showPercent val="0"/>
          <c:showBubbleSize val="0"/>
        </c:dLbls>
        <c:marker val="1"/>
        <c:smooth val="0"/>
        <c:axId val="1277570320"/>
        <c:axId val="884893568"/>
      </c:lineChart>
      <c:catAx>
        <c:axId val="12775703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84893568"/>
        <c:crosses val="autoZero"/>
        <c:auto val="1"/>
        <c:lblAlgn val="ctr"/>
        <c:lblOffset val="100"/>
        <c:noMultiLvlLbl val="0"/>
      </c:catAx>
      <c:valAx>
        <c:axId val="8848935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77570320"/>
        <c:crosses val="autoZero"/>
        <c:crossBetween val="between"/>
      </c:valAx>
      <c:spPr>
        <a:noFill/>
        <a:ln>
          <a:noFill/>
        </a:ln>
        <a:effectLst/>
      </c:spPr>
    </c:plotArea>
    <c:legend>
      <c:legendPos val="b"/>
      <c:layout>
        <c:manualLayout>
          <c:xMode val="edge"/>
          <c:yMode val="edge"/>
          <c:x val="2.3974758372419046E-2"/>
          <c:y val="0.61045598533306011"/>
          <c:w val="0.95507551014501768"/>
          <c:h val="0.3703593672188253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Percentatge d’hores de docència impartides pel PDI permanent.</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'PS4.03_Ind05'!$B$15</c:f>
              <c:strCache>
                <c:ptCount val="1"/>
                <c:pt idx="0">
                  <c:v>Número d'accions polítiques que s'han fet amb les coordinacions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'PS4.03_Ind05'!$H$14:$I$14</c15:sqref>
                  </c15:fullRef>
                </c:ext>
              </c:extLst>
              <c:f>'PS4.03_Ind05'!$H$14:$I$14</c:f>
              <c:strCache>
                <c:ptCount val="2"/>
                <c:pt idx="0">
                  <c:v>2022/2023</c:v>
                </c:pt>
                <c:pt idx="1">
                  <c:v>2023/2024</c:v>
                </c:pt>
              </c:strCache>
            </c:strRef>
          </c:cat>
          <c:val>
            <c:numRef>
              <c:extLst>
                <c:ext xmlns:c15="http://schemas.microsoft.com/office/drawing/2012/chart" uri="{02D57815-91ED-43cb-92C2-25804820EDAC}">
                  <c15:fullRef>
                    <c15:sqref>'PS4.03_Ind05'!$H$15:$I$15</c15:sqref>
                  </c15:fullRef>
                </c:ext>
              </c:extLst>
              <c:f>'PS4.03_Ind05'!$H$15:$I$15</c:f>
              <c:numCache>
                <c:formatCode>General</c:formatCode>
                <c:ptCount val="2"/>
                <c:pt idx="0">
                  <c:v>3</c:v>
                </c:pt>
                <c:pt idx="1">
                  <c:v>1</c:v>
                </c:pt>
              </c:numCache>
            </c:numRef>
          </c:val>
          <c:extLst>
            <c:ext xmlns:c16="http://schemas.microsoft.com/office/drawing/2014/chart" uri="{C3380CC4-5D6E-409C-BE32-E72D297353CC}">
              <c16:uniqueId val="{00000000-569D-4709-B4B6-2C5A89302BBF}"/>
            </c:ext>
          </c:extLst>
        </c:ser>
        <c:dLbls>
          <c:showLegendKey val="0"/>
          <c:showVal val="0"/>
          <c:showCatName val="0"/>
          <c:showSerName val="0"/>
          <c:showPercent val="0"/>
          <c:showBubbleSize val="0"/>
        </c:dLbls>
        <c:gapWidth val="219"/>
        <c:axId val="1377754480"/>
        <c:axId val="1765698976"/>
        <c:extLst/>
      </c:barChart>
      <c:lineChart>
        <c:grouping val="standard"/>
        <c:varyColors val="0"/>
        <c:ser>
          <c:idx val="17"/>
          <c:order val="1"/>
          <c:tx>
            <c:strRef>
              <c:f>'PS4.03_Ind05'!$B$16</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9525">
                <a:solidFill>
                  <a:schemeClr val="accent6">
                    <a:lumMod val="80000"/>
                    <a:lumOff val="20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'PS4.03_Ind05'!$D$14:$G$14</c15:sqref>
                  </c15:fullRef>
                </c:ext>
              </c:extLst>
              <c:f>'PS4.03_Ind05'!$D$14:$E$14</c:f>
              <c:strCache>
                <c:ptCount val="2"/>
                <c:pt idx="0">
                  <c:v>2018/2019</c:v>
                </c:pt>
                <c:pt idx="1">
                  <c:v>2019/2020</c:v>
                </c:pt>
              </c:strCache>
            </c:strRef>
          </c:cat>
          <c:val>
            <c:numRef>
              <c:extLst>
                <c:ext xmlns:c15="http://schemas.microsoft.com/office/drawing/2012/chart" uri="{02D57815-91ED-43cb-92C2-25804820EDAC}">
                  <c15:fullRef>
                    <c15:sqref>'PS4.03_Ind05'!$D$16:$H$16</c15:sqref>
                  </c15:fullRef>
                </c:ext>
              </c:extLst>
              <c:f>'PS4.03_Ind05'!$D$16:$E$16</c:f>
              <c:numCache>
                <c:formatCode>General</c:formatCode>
                <c:ptCount val="2"/>
                <c:pt idx="0">
                  <c:v>4</c:v>
                </c:pt>
                <c:pt idx="1">
                  <c:v>4</c:v>
                </c:pt>
              </c:numCache>
            </c:numRef>
          </c:val>
          <c:smooth val="0"/>
          <c:extLst>
            <c:ext xmlns:c16="http://schemas.microsoft.com/office/drawing/2014/chart" uri="{C3380CC4-5D6E-409C-BE32-E72D297353CC}">
              <c16:uniqueId val="{00000011-569D-4709-B4B6-2C5A89302BBF}"/>
            </c:ext>
          </c:extLst>
        </c:ser>
        <c:dLbls>
          <c:showLegendKey val="0"/>
          <c:showVal val="0"/>
          <c:showCatName val="0"/>
          <c:showSerName val="0"/>
          <c:showPercent val="0"/>
          <c:showBubbleSize val="0"/>
        </c:dLbls>
        <c:marker val="1"/>
        <c:smooth val="0"/>
        <c:axId val="1377754480"/>
        <c:axId val="1765698976"/>
      </c:lineChart>
      <c:catAx>
        <c:axId val="13777544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65698976"/>
        <c:crosses val="autoZero"/>
        <c:auto val="1"/>
        <c:lblAlgn val="ctr"/>
        <c:lblOffset val="100"/>
        <c:noMultiLvlLbl val="0"/>
      </c:catAx>
      <c:valAx>
        <c:axId val="1765698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77754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Percentatge d’hores de docència impartides pel PDI permanent.</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8.8208661417322837E-2"/>
          <c:y val="0.23430555555555554"/>
          <c:w val="0.5229024496937883"/>
          <c:h val="0.67782407407407408"/>
        </c:manualLayout>
      </c:layout>
      <c:barChart>
        <c:barDir val="col"/>
        <c:grouping val="clustered"/>
        <c:varyColors val="0"/>
        <c:ser>
          <c:idx val="0"/>
          <c:order val="0"/>
          <c:tx>
            <c:strRef>
              <c:f>'PS4.03_Ind06'!$B$15</c:f>
              <c:strCache>
                <c:ptCount val="1"/>
                <c:pt idx="0">
                  <c:v>Número de reunions fetes entre el Deganat i totes les direccions de Departament de la Facultat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'PS4.03_Ind06'!$G$14:$I$14</c:f>
              <c:strCache>
                <c:ptCount val="3"/>
                <c:pt idx="0">
                  <c:v>2021/2022</c:v>
                </c:pt>
                <c:pt idx="1">
                  <c:v>2022/2023</c:v>
                </c:pt>
                <c:pt idx="2">
                  <c:v>2023/2024</c:v>
                </c:pt>
              </c:strCache>
            </c:strRef>
          </c:cat>
          <c:val>
            <c:numRef>
              <c:f>'PS4.03_Ind06'!$G$15:$I$15</c:f>
              <c:numCache>
                <c:formatCode>General</c:formatCode>
                <c:ptCount val="3"/>
                <c:pt idx="0">
                  <c:v>0</c:v>
                </c:pt>
                <c:pt idx="1">
                  <c:v>25</c:v>
                </c:pt>
                <c:pt idx="2">
                  <c:v>25</c:v>
                </c:pt>
              </c:numCache>
            </c:numRef>
          </c:val>
          <c:extLst>
            <c:ext xmlns:c16="http://schemas.microsoft.com/office/drawing/2014/chart" uri="{C3380CC4-5D6E-409C-BE32-E72D297353CC}">
              <c16:uniqueId val="{00000000-4A0E-4C3F-B4D3-B627661812B4}"/>
            </c:ext>
          </c:extLst>
        </c:ser>
        <c:dLbls>
          <c:showLegendKey val="0"/>
          <c:showVal val="0"/>
          <c:showCatName val="0"/>
          <c:showSerName val="0"/>
          <c:showPercent val="0"/>
          <c:showBubbleSize val="0"/>
        </c:dLbls>
        <c:gapWidth val="219"/>
        <c:axId val="1377754480"/>
        <c:axId val="1765698976"/>
        <c:extLst/>
      </c:barChart>
      <c:lineChart>
        <c:grouping val="standard"/>
        <c:varyColors val="0"/>
        <c:ser>
          <c:idx val="17"/>
          <c:order val="1"/>
          <c:tx>
            <c:strRef>
              <c:f>'PS4.03_Ind06'!$B$16</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9525">
                <a:solidFill>
                  <a:schemeClr val="accent6">
                    <a:lumMod val="80000"/>
                    <a:lumOff val="20000"/>
                  </a:schemeClr>
                </a:solidFill>
                <a:round/>
              </a:ln>
              <a:effectLst>
                <a:outerShdw blurRad="57150" dist="19050" dir="5400000" algn="ctr" rotWithShape="0">
                  <a:srgbClr val="000000">
                    <a:alpha val="63000"/>
                  </a:srgbClr>
                </a:outerShdw>
              </a:effectLst>
            </c:spPr>
          </c:marker>
          <c:cat>
            <c:strRef>
              <c:f>'PS4.03_Ind06'!$D$14:$G$14</c:f>
              <c:strCache>
                <c:ptCount val="4"/>
                <c:pt idx="0">
                  <c:v>2018/2019</c:v>
                </c:pt>
                <c:pt idx="1">
                  <c:v>2019/2020</c:v>
                </c:pt>
                <c:pt idx="2">
                  <c:v>2020/2021</c:v>
                </c:pt>
                <c:pt idx="3">
                  <c:v>2021/2022</c:v>
                </c:pt>
              </c:strCache>
            </c:strRef>
          </c:cat>
          <c:val>
            <c:numRef>
              <c:f>'PS4.03_Ind06'!$G$16:$I$16</c:f>
              <c:numCache>
                <c:formatCode>0.00</c:formatCode>
                <c:ptCount val="3"/>
                <c:pt idx="0">
                  <c:v>24</c:v>
                </c:pt>
                <c:pt idx="1">
                  <c:v>24</c:v>
                </c:pt>
                <c:pt idx="2" formatCode="General">
                  <c:v>24</c:v>
                </c:pt>
              </c:numCache>
            </c:numRef>
          </c:val>
          <c:smooth val="0"/>
          <c:extLst>
            <c:ext xmlns:c16="http://schemas.microsoft.com/office/drawing/2014/chart" uri="{C3380CC4-5D6E-409C-BE32-E72D297353CC}">
              <c16:uniqueId val="{00000001-4A0E-4C3F-B4D3-B627661812B4}"/>
            </c:ext>
          </c:extLst>
        </c:ser>
        <c:dLbls>
          <c:showLegendKey val="0"/>
          <c:showVal val="0"/>
          <c:showCatName val="0"/>
          <c:showSerName val="0"/>
          <c:showPercent val="0"/>
          <c:showBubbleSize val="0"/>
        </c:dLbls>
        <c:marker val="1"/>
        <c:smooth val="0"/>
        <c:axId val="1377754480"/>
        <c:axId val="1765698976"/>
      </c:lineChart>
      <c:catAx>
        <c:axId val="13777544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65698976"/>
        <c:crosses val="autoZero"/>
        <c:auto val="1"/>
        <c:lblAlgn val="ctr"/>
        <c:lblOffset val="100"/>
        <c:noMultiLvlLbl val="0"/>
      </c:catAx>
      <c:valAx>
        <c:axId val="1765698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77754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t>PE1.02_Ind02</a:t>
            </a:r>
            <a:r>
              <a:rPr lang="ca-ES" sz="1200" baseline="0"/>
              <a:t>. Nombre d'informes de qualitat presentats a la Junta Permanent i i/o Junta de Facultat</a:t>
            </a:r>
            <a:endParaRPr lang="ca-ES" sz="12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1"/>
          <c:order val="0"/>
          <c:tx>
            <c:strRef>
              <c:f>'PE1.02_Ind02'!$B$15:$C$15</c:f>
              <c:strCache>
                <c:ptCount val="2"/>
                <c:pt idx="0">
                  <c:v>Valor real</c:v>
                </c:pt>
              </c:strCache>
            </c:strRef>
          </c:tx>
          <c:spPr>
            <a:solidFill>
              <a:schemeClr val="accent1"/>
            </a:solidFill>
            <a:ln>
              <a:noFill/>
            </a:ln>
            <a:effectLst>
              <a:outerShdw blurRad="57150" dist="19050" dir="5400000" algn="ctr" rotWithShape="0">
                <a:srgbClr val="000000">
                  <a:alpha val="63000"/>
                </a:srgbClr>
              </a:outerShdw>
            </a:effectLst>
          </c:spPr>
          <c:invertIfNegative val="0"/>
          <c:cat>
            <c:strRef>
              <c:f>'PE1.02_Ind02'!$D$14:$I$14</c:f>
              <c:strCache>
                <c:ptCount val="6"/>
                <c:pt idx="0">
                  <c:v>2018/2019</c:v>
                </c:pt>
                <c:pt idx="1">
                  <c:v>2019/2020</c:v>
                </c:pt>
                <c:pt idx="2">
                  <c:v>2020/2021</c:v>
                </c:pt>
                <c:pt idx="3">
                  <c:v>2021/2022</c:v>
                </c:pt>
                <c:pt idx="4">
                  <c:v>2022/2023</c:v>
                </c:pt>
                <c:pt idx="5">
                  <c:v>2023/2024</c:v>
                </c:pt>
              </c:strCache>
            </c:strRef>
          </c:cat>
          <c:val>
            <c:numRef>
              <c:f>'PE1.02_Ind02'!$D$15:$I$15</c:f>
              <c:numCache>
                <c:formatCode>General</c:formatCode>
                <c:ptCount val="6"/>
                <c:pt idx="0">
                  <c:v>2</c:v>
                </c:pt>
                <c:pt idx="1">
                  <c:v>2</c:v>
                </c:pt>
                <c:pt idx="2">
                  <c:v>2</c:v>
                </c:pt>
                <c:pt idx="3">
                  <c:v>2</c:v>
                </c:pt>
                <c:pt idx="4">
                  <c:v>2</c:v>
                </c:pt>
                <c:pt idx="5">
                  <c:v>3</c:v>
                </c:pt>
              </c:numCache>
            </c:numRef>
          </c:val>
          <c:extLst>
            <c:ext xmlns:c16="http://schemas.microsoft.com/office/drawing/2014/chart" uri="{C3380CC4-5D6E-409C-BE32-E72D297353CC}">
              <c16:uniqueId val="{00000001-13FA-447E-AC3D-F3D9987F2B3D}"/>
            </c:ext>
          </c:extLst>
        </c:ser>
        <c:dLbls>
          <c:showLegendKey val="0"/>
          <c:showVal val="0"/>
          <c:showCatName val="0"/>
          <c:showSerName val="0"/>
          <c:showPercent val="0"/>
          <c:showBubbleSize val="0"/>
        </c:dLbls>
        <c:gapWidth val="219"/>
        <c:axId val="814617023"/>
        <c:axId val="646314943"/>
      </c:barChart>
      <c:lineChart>
        <c:grouping val="standard"/>
        <c:varyColors val="0"/>
        <c:ser>
          <c:idx val="2"/>
          <c:order val="1"/>
          <c:tx>
            <c:strRef>
              <c:f>'PE1.02_Ind02'!$B$16:$C$16</c:f>
              <c:strCache>
                <c:ptCount val="2"/>
                <c:pt idx="0">
                  <c:v>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1"/>
              </a:solidFill>
              <a:ln w="9525">
                <a:solidFill>
                  <a:schemeClr val="accent3"/>
                </a:solidFill>
                <a:round/>
              </a:ln>
              <a:effectLst>
                <a:outerShdw blurRad="57150" dist="19050" dir="5400000" algn="ctr" rotWithShape="0">
                  <a:srgbClr val="000000">
                    <a:alpha val="63000"/>
                  </a:srgbClr>
                </a:outerShdw>
              </a:effectLst>
            </c:spPr>
          </c:marker>
          <c:cat>
            <c:strRef>
              <c:f>'PE1.02_Ind02'!$D$14:$I$14</c:f>
              <c:strCache>
                <c:ptCount val="6"/>
                <c:pt idx="0">
                  <c:v>2018/2019</c:v>
                </c:pt>
                <c:pt idx="1">
                  <c:v>2019/2020</c:v>
                </c:pt>
                <c:pt idx="2">
                  <c:v>2020/2021</c:v>
                </c:pt>
                <c:pt idx="3">
                  <c:v>2021/2022</c:v>
                </c:pt>
                <c:pt idx="4">
                  <c:v>2022/2023</c:v>
                </c:pt>
                <c:pt idx="5">
                  <c:v>2023/2024</c:v>
                </c:pt>
              </c:strCache>
            </c:strRef>
          </c:cat>
          <c:val>
            <c:numRef>
              <c:f>'PE1.02_Ind02'!$D$16:$I$16</c:f>
              <c:numCache>
                <c:formatCode>General</c:formatCode>
                <c:ptCount val="6"/>
                <c:pt idx="0">
                  <c:v>2</c:v>
                </c:pt>
                <c:pt idx="1">
                  <c:v>2</c:v>
                </c:pt>
                <c:pt idx="2">
                  <c:v>2</c:v>
                </c:pt>
                <c:pt idx="3">
                  <c:v>2</c:v>
                </c:pt>
                <c:pt idx="4">
                  <c:v>2</c:v>
                </c:pt>
                <c:pt idx="5">
                  <c:v>2</c:v>
                </c:pt>
              </c:numCache>
            </c:numRef>
          </c:val>
          <c:smooth val="0"/>
          <c:extLst>
            <c:ext xmlns:c16="http://schemas.microsoft.com/office/drawing/2014/chart" uri="{C3380CC4-5D6E-409C-BE32-E72D297353CC}">
              <c16:uniqueId val="{00000002-13FA-447E-AC3D-F3D9987F2B3D}"/>
            </c:ext>
          </c:extLst>
        </c:ser>
        <c:dLbls>
          <c:showLegendKey val="0"/>
          <c:showVal val="0"/>
          <c:showCatName val="0"/>
          <c:showSerName val="0"/>
          <c:showPercent val="0"/>
          <c:showBubbleSize val="0"/>
        </c:dLbls>
        <c:marker val="1"/>
        <c:smooth val="0"/>
        <c:axId val="814617023"/>
        <c:axId val="646314943"/>
      </c:lineChart>
      <c:catAx>
        <c:axId val="81461702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6314943"/>
        <c:crosses val="autoZero"/>
        <c:auto val="1"/>
        <c:lblAlgn val="ctr"/>
        <c:lblOffset val="100"/>
        <c:noMultiLvlLbl val="0"/>
      </c:catAx>
      <c:valAx>
        <c:axId val="646314943"/>
        <c:scaling>
          <c:orientation val="minMax"/>
          <c:max val="3"/>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14617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100" b="1">
                <a:effectLst/>
              </a:rPr>
              <a:t>Import de la Despesa econòmica de la Facultat destinada a l’adquisició, renovació d’equipament dels laboratoris i altres necessitats docents</a:t>
            </a:r>
            <a:r>
              <a:rPr lang="ca-ES" sz="1800" b="1">
                <a:effectLst/>
              </a:rPr>
              <a:t>. </a:t>
            </a:r>
            <a:endParaRPr lang="ca-ES" sz="18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'PS4.04_Ind01'!$B$16</c:f>
              <c:strCache>
                <c:ptCount val="1"/>
                <c:pt idx="0">
                  <c:v>Percentatge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'PS4.04_Ind01'!$C$13:$H$13</c:f>
              <c:numCache>
                <c:formatCode>General</c:formatCode>
                <c:ptCount val="6"/>
                <c:pt idx="0">
                  <c:v>2019</c:v>
                </c:pt>
                <c:pt idx="1">
                  <c:v>2020</c:v>
                </c:pt>
                <c:pt idx="2">
                  <c:v>2021</c:v>
                </c:pt>
                <c:pt idx="3">
                  <c:v>2022</c:v>
                </c:pt>
                <c:pt idx="4">
                  <c:v>2023</c:v>
                </c:pt>
                <c:pt idx="5">
                  <c:v>2024</c:v>
                </c:pt>
              </c:numCache>
            </c:numRef>
          </c:cat>
          <c:val>
            <c:numRef>
              <c:f>'PS4.04_Ind01'!$C$16:$H$16</c:f>
              <c:numCache>
                <c:formatCode>0%</c:formatCode>
                <c:ptCount val="6"/>
                <c:pt idx="0">
                  <c:v>0.18</c:v>
                </c:pt>
                <c:pt idx="1">
                  <c:v>0.37</c:v>
                </c:pt>
                <c:pt idx="2" formatCode="0.00%">
                  <c:v>0.19500000000000001</c:v>
                </c:pt>
                <c:pt idx="3">
                  <c:v>0.19</c:v>
                </c:pt>
                <c:pt idx="4">
                  <c:v>0.12</c:v>
                </c:pt>
                <c:pt idx="5">
                  <c:v>0.14000000000000001</c:v>
                </c:pt>
              </c:numCache>
            </c:numRef>
          </c:val>
          <c:extLst>
            <c:ext xmlns:c16="http://schemas.microsoft.com/office/drawing/2014/chart" uri="{C3380CC4-5D6E-409C-BE32-E72D297353CC}">
              <c16:uniqueId val="{00000000-E1BF-4537-B48F-ED1273455EEB}"/>
            </c:ext>
          </c:extLst>
        </c:ser>
        <c:dLbls>
          <c:showLegendKey val="0"/>
          <c:showVal val="0"/>
          <c:showCatName val="0"/>
          <c:showSerName val="0"/>
          <c:showPercent val="0"/>
          <c:showBubbleSize val="0"/>
        </c:dLbls>
        <c:gapWidth val="219"/>
        <c:axId val="1670394896"/>
        <c:axId val="884893088"/>
      </c:barChart>
      <c:lineChart>
        <c:grouping val="standard"/>
        <c:varyColors val="0"/>
        <c:ser>
          <c:idx val="1"/>
          <c:order val="1"/>
          <c:tx>
            <c:strRef>
              <c:f>'PS4.04_Ind01'!$B$17</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numRef>
              <c:f>'PS4.04_Ind01'!$C$13:$H$13</c:f>
              <c:numCache>
                <c:formatCode>General</c:formatCode>
                <c:ptCount val="6"/>
                <c:pt idx="0">
                  <c:v>2019</c:v>
                </c:pt>
                <c:pt idx="1">
                  <c:v>2020</c:v>
                </c:pt>
                <c:pt idx="2">
                  <c:v>2021</c:v>
                </c:pt>
                <c:pt idx="3">
                  <c:v>2022</c:v>
                </c:pt>
                <c:pt idx="4">
                  <c:v>2023</c:v>
                </c:pt>
                <c:pt idx="5">
                  <c:v>2024</c:v>
                </c:pt>
              </c:numCache>
            </c:numRef>
          </c:cat>
          <c:val>
            <c:numRef>
              <c:f>'PS4.04_Ind01'!$C$17:$H$17</c:f>
              <c:numCache>
                <c:formatCode>0%</c:formatCode>
                <c:ptCount val="6"/>
                <c:pt idx="0">
                  <c:v>0.1</c:v>
                </c:pt>
                <c:pt idx="1">
                  <c:v>0.1</c:v>
                </c:pt>
                <c:pt idx="2">
                  <c:v>0.1</c:v>
                </c:pt>
                <c:pt idx="3">
                  <c:v>0.1</c:v>
                </c:pt>
                <c:pt idx="4">
                  <c:v>0.1</c:v>
                </c:pt>
                <c:pt idx="5">
                  <c:v>0.1</c:v>
                </c:pt>
              </c:numCache>
            </c:numRef>
          </c:val>
          <c:smooth val="0"/>
          <c:extLst>
            <c:ext xmlns:c16="http://schemas.microsoft.com/office/drawing/2014/chart" uri="{C3380CC4-5D6E-409C-BE32-E72D297353CC}">
              <c16:uniqueId val="{00000001-E1BF-4537-B48F-ED1273455EEB}"/>
            </c:ext>
          </c:extLst>
        </c:ser>
        <c:dLbls>
          <c:showLegendKey val="0"/>
          <c:showVal val="0"/>
          <c:showCatName val="0"/>
          <c:showSerName val="0"/>
          <c:showPercent val="0"/>
          <c:showBubbleSize val="0"/>
        </c:dLbls>
        <c:marker val="1"/>
        <c:smooth val="0"/>
        <c:axId val="1670394896"/>
        <c:axId val="884893088"/>
      </c:lineChart>
      <c:catAx>
        <c:axId val="16703948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84893088"/>
        <c:crosses val="autoZero"/>
        <c:auto val="1"/>
        <c:lblAlgn val="ctr"/>
        <c:lblOffset val="100"/>
        <c:noMultiLvlLbl val="0"/>
      </c:catAx>
      <c:valAx>
        <c:axId val="884893088"/>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70394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100" b="1">
                <a:effectLst/>
              </a:rPr>
              <a:t>Import de la Despesa econòmica de la Facultat destinada a l’adquisició, renovació d’equipament dels laboratoris i altres necessitats docents</a:t>
            </a:r>
            <a:r>
              <a:rPr lang="ca-ES" sz="1800" b="1">
                <a:effectLst/>
              </a:rPr>
              <a:t>. </a:t>
            </a:r>
            <a:endParaRPr lang="ca-ES" sz="18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2"/>
          <c:order val="0"/>
          <c:tx>
            <c:strRef>
              <c:f>'PS4.04_Ind02'!$B$14</c:f>
              <c:strCache>
                <c:ptCount val="1"/>
                <c:pt idx="0">
                  <c:v>Despesa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'PS4.04_Ind02'!$E$13:$H$13</c:f>
              <c:numCache>
                <c:formatCode>General</c:formatCode>
                <c:ptCount val="4"/>
                <c:pt idx="0">
                  <c:v>2021</c:v>
                </c:pt>
                <c:pt idx="1">
                  <c:v>2022</c:v>
                </c:pt>
                <c:pt idx="2">
                  <c:v>2023</c:v>
                </c:pt>
                <c:pt idx="3">
                  <c:v>2024</c:v>
                </c:pt>
              </c:numCache>
            </c:numRef>
          </c:cat>
          <c:val>
            <c:numRef>
              <c:f>'PS4.04_Ind02'!$E$14:$H$14</c:f>
              <c:numCache>
                <c:formatCode>General</c:formatCode>
                <c:ptCount val="4"/>
                <c:pt idx="0">
                  <c:v>45989</c:v>
                </c:pt>
                <c:pt idx="1">
                  <c:v>45989</c:v>
                </c:pt>
                <c:pt idx="2">
                  <c:v>45989</c:v>
                </c:pt>
                <c:pt idx="3">
                  <c:v>68984</c:v>
                </c:pt>
              </c:numCache>
            </c:numRef>
          </c:val>
          <c:extLst>
            <c:ext xmlns:c16="http://schemas.microsoft.com/office/drawing/2014/chart" uri="{C3380CC4-5D6E-409C-BE32-E72D297353CC}">
              <c16:uniqueId val="{00000000-3DFB-416A-929A-C57611568CCB}"/>
            </c:ext>
          </c:extLst>
        </c:ser>
        <c:dLbls>
          <c:showLegendKey val="0"/>
          <c:showVal val="0"/>
          <c:showCatName val="0"/>
          <c:showSerName val="0"/>
          <c:showPercent val="0"/>
          <c:showBubbleSize val="0"/>
        </c:dLbls>
        <c:gapWidth val="150"/>
        <c:axId val="1670394896"/>
        <c:axId val="884893088"/>
      </c:barChart>
      <c:lineChart>
        <c:grouping val="standard"/>
        <c:varyColors val="0"/>
        <c:ser>
          <c:idx val="3"/>
          <c:order val="1"/>
          <c:tx>
            <c:strRef>
              <c:f>'PS4.04_Ind02'!$B$16</c:f>
              <c:strCache>
                <c:ptCount val="1"/>
                <c:pt idx="0">
                  <c:v>objectiu</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val>
            <c:numRef>
              <c:f>'PS4.04_Ind02'!$E$16:$H$16</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01-3DFB-416A-929A-C57611568CCB}"/>
            </c:ext>
          </c:extLst>
        </c:ser>
        <c:dLbls>
          <c:showLegendKey val="0"/>
          <c:showVal val="0"/>
          <c:showCatName val="0"/>
          <c:showSerName val="0"/>
          <c:showPercent val="0"/>
          <c:showBubbleSize val="0"/>
        </c:dLbls>
        <c:marker val="1"/>
        <c:smooth val="0"/>
        <c:axId val="1670394896"/>
        <c:axId val="884893088"/>
      </c:lineChart>
      <c:catAx>
        <c:axId val="16703948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84893088"/>
        <c:crosses val="autoZero"/>
        <c:auto val="1"/>
        <c:lblAlgn val="ctr"/>
        <c:lblOffset val="100"/>
        <c:noMultiLvlLbl val="0"/>
      </c:catAx>
      <c:valAx>
        <c:axId val="8848930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70394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a:t>Valoració mitjana de la pregunta “Les instal·lacions (aules i espais docents) han estat adequades per afavorir el meu aprenentatge</a:t>
            </a:r>
            <a:r>
              <a:rPr lang="ca-ES"/>
              <a:t>”</a:t>
            </a:r>
          </a:p>
          <a:p>
            <a:pPr>
              <a:defRPr/>
            </a:pPr>
            <a:r>
              <a:rPr lang="ca-ES"/>
              <a:t> </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1"/>
          <c:order val="1"/>
          <c:tx>
            <c:strRef>
              <c:f>'PS4.04_Ind03.'!$B$14</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'PS4.04_Ind03.'!$F$14:$I$14</c:f>
              <c:numCache>
                <c:formatCode>0.00</c:formatCode>
                <c:ptCount val="4"/>
                <c:pt idx="0">
                  <c:v>4.38</c:v>
                </c:pt>
                <c:pt idx="1">
                  <c:v>3.8</c:v>
                </c:pt>
                <c:pt idx="2">
                  <c:v>3.53</c:v>
                </c:pt>
                <c:pt idx="3">
                  <c:v>4</c:v>
                </c:pt>
              </c:numCache>
            </c:numRef>
          </c:val>
          <c:extLst>
            <c:ext xmlns:c16="http://schemas.microsoft.com/office/drawing/2014/chart" uri="{C3380CC4-5D6E-409C-BE32-E72D297353CC}">
              <c16:uniqueId val="{00000001-FC1F-4C14-AC3C-709285C8F4E9}"/>
            </c:ext>
          </c:extLst>
        </c:ser>
        <c:ser>
          <c:idx val="2"/>
          <c:order val="2"/>
          <c:tx>
            <c:strRef>
              <c:f>'PS4.04_Ind03.'!$B$15</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'PS4.04_Ind03.'!$F$15:$I$15</c:f>
              <c:numCache>
                <c:formatCode>0.00</c:formatCode>
                <c:ptCount val="4"/>
                <c:pt idx="0">
                  <c:v>2.8</c:v>
                </c:pt>
                <c:pt idx="1">
                  <c:v>2</c:v>
                </c:pt>
                <c:pt idx="2">
                  <c:v>3.43</c:v>
                </c:pt>
                <c:pt idx="3">
                  <c:v>3.29</c:v>
                </c:pt>
              </c:numCache>
            </c:numRef>
          </c:val>
          <c:extLst>
            <c:ext xmlns:c16="http://schemas.microsoft.com/office/drawing/2014/chart" uri="{C3380CC4-5D6E-409C-BE32-E72D297353CC}">
              <c16:uniqueId val="{00000002-FC1F-4C14-AC3C-709285C8F4E9}"/>
            </c:ext>
          </c:extLst>
        </c:ser>
        <c:ser>
          <c:idx val="3"/>
          <c:order val="3"/>
          <c:tx>
            <c:strRef>
              <c:f>'PS4.04_Ind03.'!$B$16</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'PS4.04_Ind03.'!$F$16:$I$16</c:f>
              <c:numCache>
                <c:formatCode>0.00</c:formatCode>
                <c:ptCount val="4"/>
                <c:pt idx="0">
                  <c:v>4.67</c:v>
                </c:pt>
                <c:pt idx="1">
                  <c:v>2.5</c:v>
                </c:pt>
                <c:pt idx="2">
                  <c:v>4.17</c:v>
                </c:pt>
                <c:pt idx="3">
                  <c:v>3.89</c:v>
                </c:pt>
              </c:numCache>
            </c:numRef>
          </c:val>
          <c:extLst>
            <c:ext xmlns:c16="http://schemas.microsoft.com/office/drawing/2014/chart" uri="{C3380CC4-5D6E-409C-BE32-E72D297353CC}">
              <c16:uniqueId val="{00000003-FC1F-4C14-AC3C-709285C8F4E9}"/>
            </c:ext>
          </c:extLst>
        </c:ser>
        <c:ser>
          <c:idx val="4"/>
          <c:order val="4"/>
          <c:tx>
            <c:strRef>
              <c:f>'PS4.04_Ind03.'!$B$17</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'PS4.04_Ind03.'!$F$17:$I$17</c:f>
              <c:numCache>
                <c:formatCode>0.00</c:formatCode>
                <c:ptCount val="4"/>
                <c:pt idx="0">
                  <c:v>3.77</c:v>
                </c:pt>
                <c:pt idx="1">
                  <c:v>3.5</c:v>
                </c:pt>
                <c:pt idx="2">
                  <c:v>4</c:v>
                </c:pt>
                <c:pt idx="3">
                  <c:v>3.8</c:v>
                </c:pt>
              </c:numCache>
            </c:numRef>
          </c:val>
          <c:extLst>
            <c:ext xmlns:c16="http://schemas.microsoft.com/office/drawing/2014/chart" uri="{C3380CC4-5D6E-409C-BE32-E72D297353CC}">
              <c16:uniqueId val="{00000004-FC1F-4C14-AC3C-709285C8F4E9}"/>
            </c:ext>
          </c:extLst>
        </c:ser>
        <c:ser>
          <c:idx val="5"/>
          <c:order val="5"/>
          <c:tx>
            <c:strRef>
              <c:f>'PS4.04_Ind03.'!$B$18</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'PS4.04_Ind03.'!$F$18:$I$18</c:f>
              <c:numCache>
                <c:formatCode>0.00</c:formatCode>
                <c:ptCount val="4"/>
                <c:pt idx="0">
                  <c:v>0</c:v>
                </c:pt>
                <c:pt idx="1">
                  <c:v>4</c:v>
                </c:pt>
                <c:pt idx="2">
                  <c:v>3.89</c:v>
                </c:pt>
                <c:pt idx="3">
                  <c:v>3.71</c:v>
                </c:pt>
              </c:numCache>
            </c:numRef>
          </c:val>
          <c:extLst>
            <c:ext xmlns:c16="http://schemas.microsoft.com/office/drawing/2014/chart" uri="{C3380CC4-5D6E-409C-BE32-E72D297353CC}">
              <c16:uniqueId val="{00000005-FC1F-4C14-AC3C-709285C8F4E9}"/>
            </c:ext>
          </c:extLst>
        </c:ser>
        <c:ser>
          <c:idx val="6"/>
          <c:order val="6"/>
          <c:tx>
            <c:strRef>
              <c:f>'PS4.04_Ind03.'!$B$19</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'PS4.04_Ind03.'!$F$19:$I$19</c:f>
              <c:numCache>
                <c:formatCode>0.00</c:formatCode>
                <c:ptCount val="4"/>
                <c:pt idx="0">
                  <c:v>0</c:v>
                </c:pt>
                <c:pt idx="1">
                  <c:v>3.75</c:v>
                </c:pt>
                <c:pt idx="2">
                  <c:v>3.25</c:v>
                </c:pt>
                <c:pt idx="3">
                  <c:v>3.83</c:v>
                </c:pt>
              </c:numCache>
            </c:numRef>
          </c:val>
          <c:extLst>
            <c:ext xmlns:c16="http://schemas.microsoft.com/office/drawing/2014/chart" uri="{C3380CC4-5D6E-409C-BE32-E72D297353CC}">
              <c16:uniqueId val="{00000006-FC1F-4C14-AC3C-709285C8F4E9}"/>
            </c:ext>
          </c:extLst>
        </c:ser>
        <c:ser>
          <c:idx val="7"/>
          <c:order val="7"/>
          <c:tx>
            <c:strRef>
              <c:f>'PS4.04_Ind03.'!$B$20</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'PS4.04_Ind03.'!$F$20:$I$20</c:f>
              <c:numCache>
                <c:formatCode>0.00</c:formatCode>
                <c:ptCount val="4"/>
                <c:pt idx="0">
                  <c:v>0</c:v>
                </c:pt>
                <c:pt idx="1">
                  <c:v>0</c:v>
                </c:pt>
                <c:pt idx="2">
                  <c:v>3.71</c:v>
                </c:pt>
                <c:pt idx="3">
                  <c:v>0</c:v>
                </c:pt>
              </c:numCache>
            </c:numRef>
          </c:val>
          <c:extLst>
            <c:ext xmlns:c16="http://schemas.microsoft.com/office/drawing/2014/chart" uri="{C3380CC4-5D6E-409C-BE32-E72D297353CC}">
              <c16:uniqueId val="{00000007-FC1F-4C14-AC3C-709285C8F4E9}"/>
            </c:ext>
          </c:extLst>
        </c:ser>
        <c:ser>
          <c:idx val="8"/>
          <c:order val="8"/>
          <c:tx>
            <c:strRef>
              <c:f>'PS4.04_Ind03.'!$B$21</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'PS4.04_Ind03.'!$F$21:$I$21</c:f>
              <c:numCache>
                <c:formatCode>0.00</c:formatCode>
                <c:ptCount val="4"/>
                <c:pt idx="0">
                  <c:v>0</c:v>
                </c:pt>
                <c:pt idx="1">
                  <c:v>0</c:v>
                </c:pt>
                <c:pt idx="2">
                  <c:v>4.29</c:v>
                </c:pt>
                <c:pt idx="3">
                  <c:v>3.31</c:v>
                </c:pt>
              </c:numCache>
            </c:numRef>
          </c:val>
          <c:extLst>
            <c:ext xmlns:c16="http://schemas.microsoft.com/office/drawing/2014/chart" uri="{C3380CC4-5D6E-409C-BE32-E72D297353CC}">
              <c16:uniqueId val="{00000008-FC1F-4C14-AC3C-709285C8F4E9}"/>
            </c:ext>
          </c:extLst>
        </c:ser>
        <c:ser>
          <c:idx val="9"/>
          <c:order val="9"/>
          <c:tx>
            <c:strRef>
              <c:f>'PS4.04_Ind03.'!$B$22</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'PS4.04_Ind03.'!$F$22:$I$22</c:f>
              <c:numCache>
                <c:formatCode>0.00</c:formatCode>
                <c:ptCount val="4"/>
                <c:pt idx="0">
                  <c:v>3.27</c:v>
                </c:pt>
                <c:pt idx="1">
                  <c:v>2.4</c:v>
                </c:pt>
                <c:pt idx="2">
                  <c:v>3.9</c:v>
                </c:pt>
                <c:pt idx="3">
                  <c:v>4.29</c:v>
                </c:pt>
              </c:numCache>
            </c:numRef>
          </c:val>
          <c:extLst>
            <c:ext xmlns:c16="http://schemas.microsoft.com/office/drawing/2014/chart" uri="{C3380CC4-5D6E-409C-BE32-E72D297353CC}">
              <c16:uniqueId val="{00000009-FC1F-4C14-AC3C-709285C8F4E9}"/>
            </c:ext>
          </c:extLst>
        </c:ser>
        <c:ser>
          <c:idx val="10"/>
          <c:order val="10"/>
          <c:tx>
            <c:strRef>
              <c:f>'PS4.04_Ind03.'!$B$24</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'PS4.04_Ind03.'!$F$24:$I$24</c:f>
              <c:numCache>
                <c:formatCode>0.00</c:formatCode>
                <c:ptCount val="4"/>
                <c:pt idx="0">
                  <c:v>3.58</c:v>
                </c:pt>
                <c:pt idx="1">
                  <c:v>4.25</c:v>
                </c:pt>
                <c:pt idx="2">
                  <c:v>3.89</c:v>
                </c:pt>
                <c:pt idx="3">
                  <c:v>3.94</c:v>
                </c:pt>
              </c:numCache>
            </c:numRef>
          </c:val>
          <c:extLst>
            <c:ext xmlns:c16="http://schemas.microsoft.com/office/drawing/2014/chart" uri="{C3380CC4-5D6E-409C-BE32-E72D297353CC}">
              <c16:uniqueId val="{0000000A-FC1F-4C14-AC3C-709285C8F4E9}"/>
            </c:ext>
          </c:extLst>
        </c:ser>
        <c:dLbls>
          <c:showLegendKey val="0"/>
          <c:showVal val="0"/>
          <c:showCatName val="0"/>
          <c:showSerName val="0"/>
          <c:showPercent val="0"/>
          <c:showBubbleSize val="0"/>
        </c:dLbls>
        <c:gapWidth val="219"/>
        <c:axId val="1271572016"/>
        <c:axId val="1667754976"/>
        <c:extLst>
          <c:ext xmlns:c15="http://schemas.microsoft.com/office/drawing/2012/chart" uri="{02D57815-91ED-43cb-92C2-25804820EDAC}">
            <c15:filteredBarSeries>
              <c15: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uri="{02D57815-91ED-43cb-92C2-25804820EDAC}">
                        <c15:formulaRef>
                          <c15:sqref>'PS4.04_Ind03.'!$F$13:$I$13</c15:sqref>
                        </c15:formulaRef>
                      </c:ext>
                    </c:extLst>
                    <c:strCache>
                      <c:ptCount val="4"/>
                      <c:pt idx="0">
                        <c:v>2019/2020</c:v>
                      </c:pt>
                      <c:pt idx="1">
                        <c:v>2020/2021</c:v>
                      </c:pt>
                      <c:pt idx="2">
                        <c:v>2021/2022</c:v>
                      </c:pt>
                      <c:pt idx="3">
                        <c:v>2022/2023</c:v>
                      </c:pt>
                    </c:strCache>
                  </c:strRef>
                </c:cat>
                <c:val>
                  <c:numRef>
                    <c:extLst>
                      <c:ext uri="{02D57815-91ED-43cb-92C2-25804820EDAC}">
                        <c15:formulaRef>
                          <c15:sqref>'PS4.04_Ind03.'!$G$35:$H$35</c15:sqref>
                        </c15:formulaRef>
                      </c:ext>
                    </c:extLst>
                    <c:numCache>
                      <c:formatCode>0.00%</c:formatCode>
                      <c:ptCount val="2"/>
                      <c:pt idx="0">
                        <c:v>0.66666666666666663</c:v>
                      </c:pt>
                      <c:pt idx="1">
                        <c:v>0.88235294117647056</c:v>
                      </c:pt>
                    </c:numCache>
                  </c:numRef>
                </c:val>
                <c:extLst>
                  <c:ext xmlns:c16="http://schemas.microsoft.com/office/drawing/2014/chart" uri="{C3380CC4-5D6E-409C-BE32-E72D297353CC}">
                    <c16:uniqueId val="{00000000-FC1F-4C14-AC3C-709285C8F4E9}"/>
                  </c:ext>
                </c:extLst>
              </c15:ser>
            </c15:filteredBarSeries>
          </c:ext>
        </c:extLst>
      </c:barChart>
      <c:lineChart>
        <c:grouping val="standard"/>
        <c:varyColors val="0"/>
        <c:ser>
          <c:idx val="11"/>
          <c:order val="11"/>
          <c:tx>
            <c:strRef>
              <c:f>'PS4.04_Ind03.'!$B$34</c:f>
              <c:strCache>
                <c:ptCount val="1"/>
                <c:pt idx="0">
                  <c:v>Valor objectiu</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9525">
                <a:solidFill>
                  <a:schemeClr val="accent6">
                    <a:lumMod val="60000"/>
                  </a:schemeClr>
                </a:solidFill>
                <a:round/>
              </a:ln>
              <a:effectLst>
                <a:outerShdw blurRad="57150" dist="19050" dir="5400000" algn="ctr" rotWithShape="0">
                  <a:srgbClr val="000000">
                    <a:alpha val="63000"/>
                  </a:srgbClr>
                </a:outerShdw>
              </a:effectLst>
            </c:spPr>
          </c:marker>
          <c:cat>
            <c:strRef>
              <c:f>'PS4.04_Ind03.'!$F$13:$I$13</c:f>
              <c:strCache>
                <c:ptCount val="4"/>
                <c:pt idx="0">
                  <c:v>2019/2020</c:v>
                </c:pt>
                <c:pt idx="1">
                  <c:v>2020/2021</c:v>
                </c:pt>
                <c:pt idx="2">
                  <c:v>2021/2022</c:v>
                </c:pt>
                <c:pt idx="3">
                  <c:v>2022/2023</c:v>
                </c:pt>
              </c:strCache>
            </c:strRef>
          </c:cat>
          <c:val>
            <c:numRef>
              <c:f>'PS4.04_Ind03.'!$F$34:$I$34</c:f>
              <c:numCache>
                <c:formatCode>0.00</c:formatCode>
                <c:ptCount val="4"/>
                <c:pt idx="0">
                  <c:v>3.5</c:v>
                </c:pt>
                <c:pt idx="1">
                  <c:v>3.5</c:v>
                </c:pt>
                <c:pt idx="2">
                  <c:v>3.5</c:v>
                </c:pt>
                <c:pt idx="3">
                  <c:v>3.5</c:v>
                </c:pt>
              </c:numCache>
            </c:numRef>
          </c:val>
          <c:smooth val="0"/>
          <c:extLst>
            <c:ext xmlns:c16="http://schemas.microsoft.com/office/drawing/2014/chart" uri="{C3380CC4-5D6E-409C-BE32-E72D297353CC}">
              <c16:uniqueId val="{0000000B-FC1F-4C14-AC3C-709285C8F4E9}"/>
            </c:ext>
          </c:extLst>
        </c:ser>
        <c:dLbls>
          <c:showLegendKey val="0"/>
          <c:showVal val="0"/>
          <c:showCatName val="0"/>
          <c:showSerName val="0"/>
          <c:showPercent val="0"/>
          <c:showBubbleSize val="0"/>
        </c:dLbls>
        <c:marker val="1"/>
        <c:smooth val="0"/>
        <c:axId val="1271572016"/>
        <c:axId val="1667754976"/>
      </c:lineChart>
      <c:catAx>
        <c:axId val="12715720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67754976"/>
        <c:crosses val="autoZero"/>
        <c:auto val="1"/>
        <c:lblAlgn val="ctr"/>
        <c:lblOffset val="100"/>
        <c:noMultiLvlLbl val="0"/>
      </c:catAx>
      <c:valAx>
        <c:axId val="1667754976"/>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71572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PS4.05_Ind01. Els recursos facilitats pels serveis de biblioteca i de suport a la docència han respost a les meves necessitats (Enquesta sobre el grau de satisfacció dels egressats i de les egressades de la UAB)</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'PS4.05_Ind01'!$B$30</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'PS4.05_Ind01'!$C$30:$E$30</c:f>
              <c:numCache>
                <c:formatCode>General</c:formatCode>
                <c:ptCount val="3"/>
              </c:numCache>
            </c:numRef>
          </c:val>
          <c:extLst>
            <c:ext xmlns:c16="http://schemas.microsoft.com/office/drawing/2014/chart" uri="{C3380CC4-5D6E-409C-BE32-E72D297353CC}">
              <c16:uniqueId val="{00000000-1C67-473F-B6A4-D52B398BC12A}"/>
            </c:ext>
          </c:extLst>
        </c:ser>
        <c:ser>
          <c:idx val="1"/>
          <c:order val="1"/>
          <c:tx>
            <c:strRef>
              <c:f>'PS4.05_Ind01'!$C$13</c:f>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'PS4.05_Ind01'!$D$13:$H$13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1C67-473F-B6A4-D52B398BC12A}"/>
            </c:ext>
          </c:extLst>
        </c:ser>
        <c:ser>
          <c:idx val="2"/>
          <c:order val="2"/>
          <c:tx>
            <c:strRef>
              <c:f>'PS4.05_Ind01'!$B$14</c:f>
              <c:strCache>
                <c:ptCount val="1"/>
                <c:pt idx="0">
                  <c:v>Ciències Ambientals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'PS4.05_Ind01'!$F$14:$I$14</c:f>
              <c:numCache>
                <c:formatCode>#,##0.00</c:formatCode>
                <c:ptCount val="4"/>
                <c:pt idx="0">
                  <c:v>4.25</c:v>
                </c:pt>
                <c:pt idx="1">
                  <c:v>4</c:v>
                </c:pt>
                <c:pt idx="2">
                  <c:v>4.1900000000000004</c:v>
                </c:pt>
                <c:pt idx="3">
                  <c:v>3.92</c:v>
                </c:pt>
              </c:numCache>
            </c:numRef>
          </c:val>
          <c:extLst>
            <c:ext xmlns:c16="http://schemas.microsoft.com/office/drawing/2014/chart" uri="{C3380CC4-5D6E-409C-BE32-E72D297353CC}">
              <c16:uniqueId val="{00000002-1C67-473F-B6A4-D52B398BC12A}"/>
            </c:ext>
          </c:extLst>
        </c:ser>
        <c:ser>
          <c:idx val="3"/>
          <c:order val="3"/>
          <c:tx>
            <c:strRef>
              <c:f>'PS4.05_Ind01'!$B$15</c:f>
              <c:strCache>
                <c:ptCount val="1"/>
                <c:pt idx="0">
                  <c:v>Ciències Ambientals i Geologia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'PS4.05_Ind01'!$F$15:$I$15</c:f>
              <c:numCache>
                <c:formatCode>#,##0.00</c:formatCode>
                <c:ptCount val="4"/>
                <c:pt idx="0">
                  <c:v>3.8</c:v>
                </c:pt>
                <c:pt idx="1">
                  <c:v>4</c:v>
                </c:pt>
                <c:pt idx="2">
                  <c:v>4.29</c:v>
                </c:pt>
                <c:pt idx="3">
                  <c:v>3.86</c:v>
                </c:pt>
              </c:numCache>
            </c:numRef>
          </c:val>
          <c:extLst>
            <c:ext xmlns:c16="http://schemas.microsoft.com/office/drawing/2014/chart" uri="{C3380CC4-5D6E-409C-BE32-E72D297353CC}">
              <c16:uniqueId val="{00000003-1C67-473F-B6A4-D52B398BC12A}"/>
            </c:ext>
          </c:extLst>
        </c:ser>
        <c:ser>
          <c:idx val="4"/>
          <c:order val="4"/>
          <c:tx>
            <c:strRef>
              <c:f>'PS4.05_Ind01'!$B$16</c:f>
              <c:strCache>
                <c:ptCount val="1"/>
                <c:pt idx="0">
                  <c:v>Estadística Aplicada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'PS4.05_Ind01'!$F$16:$I$16</c:f>
              <c:numCache>
                <c:formatCode>#,##0.00</c:formatCode>
                <c:ptCount val="4"/>
                <c:pt idx="0">
                  <c:v>4.17</c:v>
                </c:pt>
                <c:pt idx="1">
                  <c:v>4</c:v>
                </c:pt>
                <c:pt idx="2">
                  <c:v>4.5</c:v>
                </c:pt>
                <c:pt idx="3">
                  <c:v>3.67</c:v>
                </c:pt>
              </c:numCache>
            </c:numRef>
          </c:val>
          <c:extLst>
            <c:ext xmlns:c16="http://schemas.microsoft.com/office/drawing/2014/chart" uri="{C3380CC4-5D6E-409C-BE32-E72D297353CC}">
              <c16:uniqueId val="{00000004-1C67-473F-B6A4-D52B398BC12A}"/>
            </c:ext>
          </c:extLst>
        </c:ser>
        <c:ser>
          <c:idx val="5"/>
          <c:order val="5"/>
          <c:tx>
            <c:strRef>
              <c:f>'PS4.05_Ind01'!$B$17</c:f>
              <c:strCache>
                <c:ptCount val="1"/>
                <c:pt idx="0">
                  <c:v>Física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'PS4.05_Ind01'!$F$17:$I$17</c:f>
              <c:numCache>
                <c:formatCode>#,##0.00</c:formatCode>
                <c:ptCount val="4"/>
                <c:pt idx="0">
                  <c:v>4.38</c:v>
                </c:pt>
                <c:pt idx="1">
                  <c:v>3.5</c:v>
                </c:pt>
                <c:pt idx="2">
                  <c:v>4.33</c:v>
                </c:pt>
                <c:pt idx="3">
                  <c:v>4.13</c:v>
                </c:pt>
              </c:numCache>
            </c:numRef>
          </c:val>
          <c:extLst>
            <c:ext xmlns:c16="http://schemas.microsoft.com/office/drawing/2014/chart" uri="{C3380CC4-5D6E-409C-BE32-E72D297353CC}">
              <c16:uniqueId val="{00000005-1C67-473F-B6A4-D52B398BC12A}"/>
            </c:ext>
          </c:extLst>
        </c:ser>
        <c:ser>
          <c:idx val="6"/>
          <c:order val="6"/>
          <c:tx>
            <c:strRef>
              <c:f>'PS4.05_Ind01'!$B$18</c:f>
              <c:strCache>
                <c:ptCount val="1"/>
                <c:pt idx="0">
                  <c:v>Física i Matemàtiques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'PS4.05_Ind01'!$F$18:$I$18</c:f>
              <c:numCache>
                <c:formatCode>#,##0.00</c:formatCode>
                <c:ptCount val="4"/>
                <c:pt idx="0">
                  <c:v>0</c:v>
                </c:pt>
                <c:pt idx="1">
                  <c:v>4</c:v>
                </c:pt>
                <c:pt idx="2">
                  <c:v>4.4400000000000004</c:v>
                </c:pt>
                <c:pt idx="3">
                  <c:v>4.57</c:v>
                </c:pt>
              </c:numCache>
            </c:numRef>
          </c:val>
          <c:extLst>
            <c:ext xmlns:c16="http://schemas.microsoft.com/office/drawing/2014/chart" uri="{C3380CC4-5D6E-409C-BE32-E72D297353CC}">
              <c16:uniqueId val="{00000006-1C67-473F-B6A4-D52B398BC12A}"/>
            </c:ext>
          </c:extLst>
        </c:ser>
        <c:ser>
          <c:idx val="7"/>
          <c:order val="7"/>
          <c:tx>
            <c:strRef>
              <c:f>'PS4.05_Ind01'!$B$19</c:f>
              <c:strCache>
                <c:ptCount val="1"/>
                <c:pt idx="0">
                  <c:v>Física i 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'PS4.05_Ind01'!$F$19:$I$19</c:f>
              <c:numCache>
                <c:formatCode>#,##0.00</c:formatCode>
                <c:ptCount val="4"/>
                <c:pt idx="0">
                  <c:v>0</c:v>
                </c:pt>
                <c:pt idx="1">
                  <c:v>3.75</c:v>
                </c:pt>
                <c:pt idx="2">
                  <c:v>4.13</c:v>
                </c:pt>
                <c:pt idx="3">
                  <c:v>4.5</c:v>
                </c:pt>
              </c:numCache>
            </c:numRef>
          </c:val>
          <c:extLst>
            <c:ext xmlns:c16="http://schemas.microsoft.com/office/drawing/2014/chart" uri="{C3380CC4-5D6E-409C-BE32-E72D297353CC}">
              <c16:uniqueId val="{00000007-1C67-473F-B6A4-D52B398BC12A}"/>
            </c:ext>
          </c:extLst>
        </c:ser>
        <c:ser>
          <c:idx val="8"/>
          <c:order val="8"/>
          <c:tx>
            <c:strRef>
              <c:f>'PS4.05_Ind01'!$B$20</c:f>
              <c:strCache>
                <c:ptCount val="1"/>
                <c:pt idx="0">
                  <c:v>Geologia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'PS4.05_Ind01'!$F$20:$I$20</c:f>
              <c:numCache>
                <c:formatCode>#,##0.00</c:formatCode>
                <c:ptCount val="4"/>
                <c:pt idx="0">
                  <c:v>0</c:v>
                </c:pt>
                <c:pt idx="1">
                  <c:v>0</c:v>
                </c:pt>
                <c:pt idx="2">
                  <c:v>4.5</c:v>
                </c:pt>
                <c:pt idx="3">
                  <c:v>0</c:v>
                </c:pt>
              </c:numCache>
            </c:numRef>
          </c:val>
          <c:extLst>
            <c:ext xmlns:c16="http://schemas.microsoft.com/office/drawing/2014/chart" uri="{C3380CC4-5D6E-409C-BE32-E72D297353CC}">
              <c16:uniqueId val="{00000008-1C67-473F-B6A4-D52B398BC12A}"/>
            </c:ext>
          </c:extLst>
        </c:ser>
        <c:ser>
          <c:idx val="9"/>
          <c:order val="9"/>
          <c:tx>
            <c:strRef>
              <c:f>'PS4.05_Ind01'!$B$21</c:f>
              <c:strCache>
                <c:ptCount val="1"/>
                <c:pt idx="0">
                  <c:v>Matemàtica Computacional i Analítica de Dades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'PS4.05_Ind01'!$F$21:$I$21</c:f>
              <c:numCache>
                <c:formatCode>#,##0.00</c:formatCode>
                <c:ptCount val="4"/>
                <c:pt idx="0">
                  <c:v>3.82</c:v>
                </c:pt>
                <c:pt idx="1">
                  <c:v>2.8</c:v>
                </c:pt>
                <c:pt idx="2">
                  <c:v>4.33</c:v>
                </c:pt>
                <c:pt idx="3">
                  <c:v>4</c:v>
                </c:pt>
              </c:numCache>
            </c:numRef>
          </c:val>
          <c:extLst>
            <c:ext xmlns:c16="http://schemas.microsoft.com/office/drawing/2014/chart" uri="{C3380CC4-5D6E-409C-BE32-E72D297353CC}">
              <c16:uniqueId val="{00000009-1C67-473F-B6A4-D52B398BC12A}"/>
            </c:ext>
          </c:extLst>
        </c:ser>
        <c:ser>
          <c:idx val="10"/>
          <c:order val="10"/>
          <c:tx>
            <c:strRef>
              <c:f>'PS4.05_Ind01'!$B$22</c:f>
              <c:strCache>
                <c:ptCount val="1"/>
                <c:pt idx="0">
                  <c:v>Matemàtiques</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'PS4.05_Ind01'!$F$22:$I$22</c:f>
              <c:numCache>
                <c:formatCode>#,##0.00</c:formatCode>
                <c:ptCount val="4"/>
                <c:pt idx="0">
                  <c:v>3.8</c:v>
                </c:pt>
                <c:pt idx="1">
                  <c:v>3.5</c:v>
                </c:pt>
                <c:pt idx="2">
                  <c:v>4.55</c:v>
                </c:pt>
                <c:pt idx="3">
                  <c:v>4.5</c:v>
                </c:pt>
              </c:numCache>
            </c:numRef>
          </c:val>
          <c:extLst>
            <c:ext xmlns:c16="http://schemas.microsoft.com/office/drawing/2014/chart" uri="{C3380CC4-5D6E-409C-BE32-E72D297353CC}">
              <c16:uniqueId val="{0000000A-1C67-473F-B6A4-D52B398BC12A}"/>
            </c:ext>
          </c:extLst>
        </c:ser>
        <c:ser>
          <c:idx val="11"/>
          <c:order val="11"/>
          <c:tx>
            <c:strRef>
              <c:f>'PS4.05_Ind01'!$B$23</c:f>
              <c:strCache>
                <c:ptCount val="1"/>
                <c:pt idx="0">
                  <c:v>Nanociència i Nanotecnologia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'PS4.05_Ind01'!$F$23:$I$23</c:f>
              <c:numCache>
                <c:formatCode>#,##0.00</c:formatCode>
                <c:ptCount val="4"/>
                <c:pt idx="0">
                  <c:v>3.42</c:v>
                </c:pt>
                <c:pt idx="1">
                  <c:v>4.5</c:v>
                </c:pt>
                <c:pt idx="2">
                  <c:v>3.91</c:v>
                </c:pt>
                <c:pt idx="3">
                  <c:v>4.2</c:v>
                </c:pt>
              </c:numCache>
            </c:numRef>
          </c:val>
          <c:extLst>
            <c:ext xmlns:c16="http://schemas.microsoft.com/office/drawing/2014/chart" uri="{C3380CC4-5D6E-409C-BE32-E72D297353CC}">
              <c16:uniqueId val="{0000000B-1C67-473F-B6A4-D52B398BC12A}"/>
            </c:ext>
          </c:extLst>
        </c:ser>
        <c:ser>
          <c:idx val="12"/>
          <c:order val="12"/>
          <c:tx>
            <c:strRef>
              <c:f>'PS4.05_Ind01'!$B$24</c:f>
              <c:strCache>
                <c:ptCount val="1"/>
                <c:pt idx="0">
                  <c:v>Química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'PS4.05_Ind01'!$F$24:$I$24</c:f>
              <c:numCache>
                <c:formatCode>#,##0.00</c:formatCode>
                <c:ptCount val="4"/>
                <c:pt idx="0">
                  <c:v>3.93</c:v>
                </c:pt>
                <c:pt idx="1">
                  <c:v>3.7</c:v>
                </c:pt>
                <c:pt idx="2">
                  <c:v>4.16</c:v>
                </c:pt>
                <c:pt idx="3">
                  <c:v>4.29</c:v>
                </c:pt>
              </c:numCache>
            </c:numRef>
          </c:val>
          <c:extLst>
            <c:ext xmlns:c16="http://schemas.microsoft.com/office/drawing/2014/chart" uri="{C3380CC4-5D6E-409C-BE32-E72D297353CC}">
              <c16:uniqueId val="{0000000C-1C67-473F-B6A4-D52B398BC12A}"/>
            </c:ext>
          </c:extLst>
        </c:ser>
        <c:dLbls>
          <c:showLegendKey val="0"/>
          <c:showVal val="0"/>
          <c:showCatName val="0"/>
          <c:showSerName val="0"/>
          <c:showPercent val="0"/>
          <c:showBubbleSize val="0"/>
        </c:dLbls>
        <c:gapWidth val="219"/>
        <c:axId val="2063647072"/>
        <c:axId val="1818362512"/>
      </c:barChart>
      <c:lineChart>
        <c:grouping val="standard"/>
        <c:varyColors val="0"/>
        <c:ser>
          <c:idx val="13"/>
          <c:order val="13"/>
          <c:tx>
            <c:strRef>
              <c:f>'PS4.05_Ind01'!$B$27</c:f>
              <c:strCache>
                <c:ptCount val="1"/>
                <c:pt idx="0">
                  <c:v>Valor objectiu</c:v>
                </c:pt>
              </c:strCache>
            </c:strRef>
          </c:tx>
          <c:spPr>
            <a:ln w="34925" cap="rnd">
              <a:solidFill>
                <a:schemeClr val="accent2">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w="9525">
                <a:solidFill>
                  <a:schemeClr val="accent2">
                    <a:lumMod val="80000"/>
                    <a:lumOff val="20000"/>
                  </a:schemeClr>
                </a:solidFill>
                <a:round/>
              </a:ln>
              <a:effectLst>
                <a:outerShdw blurRad="57150" dist="19050" dir="5400000" algn="ctr" rotWithShape="0">
                  <a:srgbClr val="000000">
                    <a:alpha val="63000"/>
                  </a:srgbClr>
                </a:outerShdw>
              </a:effectLst>
            </c:spPr>
          </c:marker>
          <c:val>
            <c:numRef>
              <c:f>'PS4.05_Ind01'!$F$27:$I$27</c:f>
              <c:numCache>
                <c:formatCode>0.00</c:formatCode>
                <c:ptCount val="4"/>
                <c:pt idx="0">
                  <c:v>3.5</c:v>
                </c:pt>
                <c:pt idx="1">
                  <c:v>3.5</c:v>
                </c:pt>
                <c:pt idx="2">
                  <c:v>3.5</c:v>
                </c:pt>
                <c:pt idx="3" formatCode="General">
                  <c:v>3.5</c:v>
                </c:pt>
              </c:numCache>
            </c:numRef>
          </c:val>
          <c:smooth val="0"/>
          <c:extLst>
            <c:ext xmlns:c16="http://schemas.microsoft.com/office/drawing/2014/chart" uri="{C3380CC4-5D6E-409C-BE32-E72D297353CC}">
              <c16:uniqueId val="{0000000D-1C67-473F-B6A4-D52B398BC12A}"/>
            </c:ext>
          </c:extLst>
        </c:ser>
        <c:dLbls>
          <c:showLegendKey val="0"/>
          <c:showVal val="0"/>
          <c:showCatName val="0"/>
          <c:showSerName val="0"/>
          <c:showPercent val="0"/>
          <c:showBubbleSize val="0"/>
        </c:dLbls>
        <c:marker val="1"/>
        <c:smooth val="0"/>
        <c:axId val="2063647072"/>
        <c:axId val="1818362512"/>
      </c:lineChart>
      <c:catAx>
        <c:axId val="20636470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818362512"/>
        <c:crosses val="autoZero"/>
        <c:auto val="1"/>
        <c:lblAlgn val="ctr"/>
        <c:lblOffset val="100"/>
        <c:noMultiLvlLbl val="0"/>
      </c:catAx>
      <c:valAx>
        <c:axId val="18183625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63647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'PS4.05_Ind02'!$B$30</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'PS4.05_Ind02'!$C$30:$E$30</c:f>
              <c:numCache>
                <c:formatCode>General</c:formatCode>
                <c:ptCount val="3"/>
              </c:numCache>
            </c:numRef>
          </c:val>
          <c:extLst>
            <c:ext xmlns:c16="http://schemas.microsoft.com/office/drawing/2014/chart" uri="{C3380CC4-5D6E-409C-BE32-E72D297353CC}">
              <c16:uniqueId val="{00000000-91DF-49B0-97A2-43D660C10332}"/>
            </c:ext>
          </c:extLst>
        </c:ser>
        <c:ser>
          <c:idx val="1"/>
          <c:order val="1"/>
          <c:tx>
            <c:strRef>
              <c:f>'PS4.05_Ind02'!$B$14</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'PS4.05_Ind02'!$F$14:$I$14</c:f>
              <c:numCache>
                <c:formatCode>0.00</c:formatCode>
                <c:ptCount val="4"/>
                <c:pt idx="0">
                  <c:v>4.13</c:v>
                </c:pt>
                <c:pt idx="1">
                  <c:v>3.8</c:v>
                </c:pt>
                <c:pt idx="2">
                  <c:v>4</c:v>
                </c:pt>
                <c:pt idx="3">
                  <c:v>4.3099999999999996</c:v>
                </c:pt>
              </c:numCache>
            </c:numRef>
          </c:val>
          <c:extLst>
            <c:ext xmlns:c16="http://schemas.microsoft.com/office/drawing/2014/chart" uri="{C3380CC4-5D6E-409C-BE32-E72D297353CC}">
              <c16:uniqueId val="{00000001-91DF-49B0-97A2-43D660C10332}"/>
            </c:ext>
          </c:extLst>
        </c:ser>
        <c:ser>
          <c:idx val="2"/>
          <c:order val="2"/>
          <c:tx>
            <c:strRef>
              <c:f>'PS4.05_Ind02'!$B$15</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'PS4.05_Ind02'!$F$15:$I$15</c:f>
              <c:numCache>
                <c:formatCode>0.00</c:formatCode>
                <c:ptCount val="4"/>
                <c:pt idx="0">
                  <c:v>4</c:v>
                </c:pt>
                <c:pt idx="1">
                  <c:v>5</c:v>
                </c:pt>
                <c:pt idx="2">
                  <c:v>3.71</c:v>
                </c:pt>
                <c:pt idx="3">
                  <c:v>3.83</c:v>
                </c:pt>
              </c:numCache>
            </c:numRef>
          </c:val>
          <c:extLst>
            <c:ext xmlns:c16="http://schemas.microsoft.com/office/drawing/2014/chart" uri="{C3380CC4-5D6E-409C-BE32-E72D297353CC}">
              <c16:uniqueId val="{00000002-91DF-49B0-97A2-43D660C10332}"/>
            </c:ext>
          </c:extLst>
        </c:ser>
        <c:ser>
          <c:idx val="3"/>
          <c:order val="3"/>
          <c:tx>
            <c:strRef>
              <c:f>'PS4.05_Ind02'!$B$16</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'PS4.05_Ind02'!$F$16:$I$16</c:f>
              <c:numCache>
                <c:formatCode>0.00</c:formatCode>
                <c:ptCount val="4"/>
                <c:pt idx="0">
                  <c:v>4.5</c:v>
                </c:pt>
                <c:pt idx="1">
                  <c:v>4</c:v>
                </c:pt>
                <c:pt idx="2">
                  <c:v>4.67</c:v>
                </c:pt>
                <c:pt idx="3">
                  <c:v>4.1100000000000003</c:v>
                </c:pt>
              </c:numCache>
            </c:numRef>
          </c:val>
          <c:extLst>
            <c:ext xmlns:c16="http://schemas.microsoft.com/office/drawing/2014/chart" uri="{C3380CC4-5D6E-409C-BE32-E72D297353CC}">
              <c16:uniqueId val="{00000003-91DF-49B0-97A2-43D660C10332}"/>
            </c:ext>
          </c:extLst>
        </c:ser>
        <c:ser>
          <c:idx val="4"/>
          <c:order val="4"/>
          <c:tx>
            <c:strRef>
              <c:f>'PS4.05_Ind02'!$B$17</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'PS4.05_Ind02'!$F$17:$I$17</c:f>
              <c:numCache>
                <c:formatCode>0.00</c:formatCode>
                <c:ptCount val="4"/>
                <c:pt idx="0">
                  <c:v>3.92</c:v>
                </c:pt>
                <c:pt idx="1">
                  <c:v>4.17</c:v>
                </c:pt>
                <c:pt idx="2">
                  <c:v>4.05</c:v>
                </c:pt>
                <c:pt idx="3">
                  <c:v>4.13</c:v>
                </c:pt>
              </c:numCache>
            </c:numRef>
          </c:val>
          <c:extLst>
            <c:ext xmlns:c16="http://schemas.microsoft.com/office/drawing/2014/chart" uri="{C3380CC4-5D6E-409C-BE32-E72D297353CC}">
              <c16:uniqueId val="{00000004-91DF-49B0-97A2-43D660C10332}"/>
            </c:ext>
          </c:extLst>
        </c:ser>
        <c:ser>
          <c:idx val="5"/>
          <c:order val="5"/>
          <c:tx>
            <c:strRef>
              <c:f>'PS4.05_Ind02'!$B$18</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'PS4.05_Ind02'!$F$18:$I$18</c:f>
              <c:numCache>
                <c:formatCode>0.00</c:formatCode>
                <c:ptCount val="4"/>
                <c:pt idx="0">
                  <c:v>0</c:v>
                </c:pt>
                <c:pt idx="1">
                  <c:v>4</c:v>
                </c:pt>
                <c:pt idx="2">
                  <c:v>4</c:v>
                </c:pt>
                <c:pt idx="3">
                  <c:v>4.29</c:v>
                </c:pt>
              </c:numCache>
            </c:numRef>
          </c:val>
          <c:extLst>
            <c:ext xmlns:c16="http://schemas.microsoft.com/office/drawing/2014/chart" uri="{C3380CC4-5D6E-409C-BE32-E72D297353CC}">
              <c16:uniqueId val="{00000005-91DF-49B0-97A2-43D660C10332}"/>
            </c:ext>
          </c:extLst>
        </c:ser>
        <c:ser>
          <c:idx val="6"/>
          <c:order val="6"/>
          <c:tx>
            <c:strRef>
              <c:f>'PS4.05_Ind02'!$B$19</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'PS4.05_Ind02'!$F$19:$I$19</c:f>
              <c:numCache>
                <c:formatCode>0.00</c:formatCode>
                <c:ptCount val="4"/>
                <c:pt idx="0">
                  <c:v>0</c:v>
                </c:pt>
                <c:pt idx="1">
                  <c:v>4.5</c:v>
                </c:pt>
                <c:pt idx="2">
                  <c:v>4.25</c:v>
                </c:pt>
                <c:pt idx="3">
                  <c:v>4.67</c:v>
                </c:pt>
              </c:numCache>
            </c:numRef>
          </c:val>
          <c:extLst>
            <c:ext xmlns:c16="http://schemas.microsoft.com/office/drawing/2014/chart" uri="{C3380CC4-5D6E-409C-BE32-E72D297353CC}">
              <c16:uniqueId val="{00000006-91DF-49B0-97A2-43D660C10332}"/>
            </c:ext>
          </c:extLst>
        </c:ser>
        <c:ser>
          <c:idx val="7"/>
          <c:order val="7"/>
          <c:tx>
            <c:strRef>
              <c:f>'PS4.05_Ind02'!$B$20</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'PS4.05_Ind02'!$F$20:$I$20</c:f>
              <c:numCache>
                <c:formatCode>0.00</c:formatCode>
                <c:ptCount val="4"/>
                <c:pt idx="0">
                  <c:v>0</c:v>
                </c:pt>
                <c:pt idx="1">
                  <c:v>0</c:v>
                </c:pt>
                <c:pt idx="2">
                  <c:v>4.1399999999999997</c:v>
                </c:pt>
                <c:pt idx="3">
                  <c:v>0</c:v>
                </c:pt>
              </c:numCache>
            </c:numRef>
          </c:val>
          <c:extLst>
            <c:ext xmlns:c16="http://schemas.microsoft.com/office/drawing/2014/chart" uri="{C3380CC4-5D6E-409C-BE32-E72D297353CC}">
              <c16:uniqueId val="{00000007-91DF-49B0-97A2-43D660C10332}"/>
            </c:ext>
          </c:extLst>
        </c:ser>
        <c:ser>
          <c:idx val="8"/>
          <c:order val="8"/>
          <c:tx>
            <c:strRef>
              <c:f>'PS4.05_Ind02'!$B$21</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'PS4.05_Ind02'!$F$21:$I$21</c:f>
              <c:numCache>
                <c:formatCode>0.00</c:formatCode>
                <c:ptCount val="4"/>
                <c:pt idx="0">
                  <c:v>0</c:v>
                </c:pt>
                <c:pt idx="1">
                  <c:v>0</c:v>
                </c:pt>
                <c:pt idx="2">
                  <c:v>4</c:v>
                </c:pt>
                <c:pt idx="3">
                  <c:v>4</c:v>
                </c:pt>
              </c:numCache>
            </c:numRef>
          </c:val>
          <c:extLst>
            <c:ext xmlns:c16="http://schemas.microsoft.com/office/drawing/2014/chart" uri="{C3380CC4-5D6E-409C-BE32-E72D297353CC}">
              <c16:uniqueId val="{00000008-91DF-49B0-97A2-43D660C10332}"/>
            </c:ext>
          </c:extLst>
        </c:ser>
        <c:ser>
          <c:idx val="9"/>
          <c:order val="9"/>
          <c:tx>
            <c:strRef>
              <c:f>'PS4.05_Ind02'!$B$22</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'PS4.05_Ind02'!$F$22:$I$22</c:f>
              <c:numCache>
                <c:formatCode>0.00</c:formatCode>
                <c:ptCount val="4"/>
                <c:pt idx="0">
                  <c:v>3.45</c:v>
                </c:pt>
                <c:pt idx="1">
                  <c:v>3.2</c:v>
                </c:pt>
                <c:pt idx="2">
                  <c:v>4.37</c:v>
                </c:pt>
                <c:pt idx="3">
                  <c:v>4.1399999999999997</c:v>
                </c:pt>
              </c:numCache>
            </c:numRef>
          </c:val>
          <c:extLst>
            <c:ext xmlns:c16="http://schemas.microsoft.com/office/drawing/2014/chart" uri="{C3380CC4-5D6E-409C-BE32-E72D297353CC}">
              <c16:uniqueId val="{00000009-91DF-49B0-97A2-43D660C10332}"/>
            </c:ext>
          </c:extLst>
        </c:ser>
        <c:ser>
          <c:idx val="10"/>
          <c:order val="10"/>
          <c:tx>
            <c:strRef>
              <c:f>'PS4.05_Ind02'!$B$23</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'PS4.05_Ind02'!$F$23:$I$23</c:f>
              <c:numCache>
                <c:formatCode>0.00</c:formatCode>
                <c:ptCount val="4"/>
                <c:pt idx="0">
                  <c:v>3.25</c:v>
                </c:pt>
                <c:pt idx="1">
                  <c:v>4.5</c:v>
                </c:pt>
                <c:pt idx="2">
                  <c:v>4.2699999999999996</c:v>
                </c:pt>
                <c:pt idx="3">
                  <c:v>3.53</c:v>
                </c:pt>
              </c:numCache>
            </c:numRef>
          </c:val>
          <c:extLst>
            <c:ext xmlns:c16="http://schemas.microsoft.com/office/drawing/2014/chart" uri="{C3380CC4-5D6E-409C-BE32-E72D297353CC}">
              <c16:uniqueId val="{0000000A-91DF-49B0-97A2-43D660C10332}"/>
            </c:ext>
          </c:extLst>
        </c:ser>
        <c:ser>
          <c:idx val="12"/>
          <c:order val="11"/>
          <c:tx>
            <c:strRef>
              <c:f>'PS4.05_Ind02'!$B$24</c:f>
              <c:strCache>
                <c:ptCount val="1"/>
                <c:pt idx="0">
                  <c:v>Química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'PS4.05_Ind02'!$F$24:$I$24</c:f>
              <c:numCache>
                <c:formatCode>0.00</c:formatCode>
                <c:ptCount val="4"/>
                <c:pt idx="0">
                  <c:v>3.88</c:v>
                </c:pt>
                <c:pt idx="1">
                  <c:v>4.5</c:v>
                </c:pt>
                <c:pt idx="2">
                  <c:v>4.1500000000000004</c:v>
                </c:pt>
                <c:pt idx="3">
                  <c:v>4.12</c:v>
                </c:pt>
              </c:numCache>
            </c:numRef>
          </c:val>
          <c:extLst>
            <c:ext xmlns:c16="http://schemas.microsoft.com/office/drawing/2014/chart" uri="{C3380CC4-5D6E-409C-BE32-E72D297353CC}">
              <c16:uniqueId val="{0000000C-91DF-49B0-97A2-43D660C10332}"/>
            </c:ext>
          </c:extLst>
        </c:ser>
        <c:dLbls>
          <c:showLegendKey val="0"/>
          <c:showVal val="0"/>
          <c:showCatName val="0"/>
          <c:showSerName val="0"/>
          <c:showPercent val="0"/>
          <c:showBubbleSize val="0"/>
        </c:dLbls>
        <c:gapWidth val="219"/>
        <c:axId val="2063497664"/>
        <c:axId val="1981903920"/>
      </c:barChart>
      <c:lineChart>
        <c:grouping val="standard"/>
        <c:varyColors val="0"/>
        <c:ser>
          <c:idx val="11"/>
          <c:order val="12"/>
          <c:tx>
            <c:strRef>
              <c:f>'PS4.05_Ind02'!$B$27</c:f>
              <c:strCache>
                <c:ptCount val="1"/>
                <c:pt idx="0">
                  <c:v>Valor objectiu</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9525">
                <a:solidFill>
                  <a:schemeClr val="accent6">
                    <a:lumMod val="60000"/>
                  </a:schemeClr>
                </a:solidFill>
                <a:round/>
              </a:ln>
              <a:effectLst>
                <a:outerShdw blurRad="57150" dist="19050" dir="5400000" algn="ctr" rotWithShape="0">
                  <a:srgbClr val="000000">
                    <a:alpha val="63000"/>
                  </a:srgbClr>
                </a:outerShdw>
              </a:effectLst>
            </c:spPr>
          </c:marker>
          <c:cat>
            <c:strRef>
              <c:f>'PS4.05_Ind02'!$F$13:$I$13</c:f>
              <c:strCache>
                <c:ptCount val="4"/>
                <c:pt idx="0">
                  <c:v>2019/2020</c:v>
                </c:pt>
                <c:pt idx="1">
                  <c:v>2020/2021</c:v>
                </c:pt>
                <c:pt idx="2">
                  <c:v>2021/2022</c:v>
                </c:pt>
                <c:pt idx="3">
                  <c:v>2022/2023</c:v>
                </c:pt>
              </c:strCache>
            </c:strRef>
          </c:cat>
          <c:val>
            <c:numRef>
              <c:f>'PS4.05_Ind02'!$F$27:$I$27</c:f>
              <c:numCache>
                <c:formatCode>0.00</c:formatCode>
                <c:ptCount val="4"/>
                <c:pt idx="0">
                  <c:v>3.5</c:v>
                </c:pt>
                <c:pt idx="1">
                  <c:v>3.5</c:v>
                </c:pt>
                <c:pt idx="2">
                  <c:v>3.5</c:v>
                </c:pt>
                <c:pt idx="3">
                  <c:v>3.5</c:v>
                </c:pt>
              </c:numCache>
            </c:numRef>
          </c:val>
          <c:smooth val="0"/>
          <c:extLst>
            <c:ext xmlns:c16="http://schemas.microsoft.com/office/drawing/2014/chart" uri="{C3380CC4-5D6E-409C-BE32-E72D297353CC}">
              <c16:uniqueId val="{0000000D-91DF-49B0-97A2-43D660C10332}"/>
            </c:ext>
          </c:extLst>
        </c:ser>
        <c:dLbls>
          <c:showLegendKey val="0"/>
          <c:showVal val="0"/>
          <c:showCatName val="0"/>
          <c:showSerName val="0"/>
          <c:showPercent val="0"/>
          <c:showBubbleSize val="0"/>
        </c:dLbls>
        <c:marker val="1"/>
        <c:smooth val="0"/>
        <c:axId val="2063497664"/>
        <c:axId val="1981903920"/>
      </c:lineChart>
      <c:catAx>
        <c:axId val="2063497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81903920"/>
        <c:crosses val="autoZero"/>
        <c:auto val="1"/>
        <c:lblAlgn val="ctr"/>
        <c:lblOffset val="100"/>
        <c:noMultiLvlLbl val="0"/>
      </c:catAx>
      <c:valAx>
        <c:axId val="19819039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63497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 PS5.03_iND01 TAXA D'OCUPACIÓ</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1"/>
          <c:order val="1"/>
          <c:tx>
            <c:strRef>
              <c:f>'PS5.03_Ind01'!$B$15</c:f>
              <c:strCache>
                <c:ptCount val="1"/>
                <c:pt idx="0">
                  <c:v>Estadística Aplicada</c:v>
                </c:pt>
              </c:strCache>
              <c:extLst xmlns:c15="http://schemas.microsoft.com/office/drawing/2012/chart"/>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'PS5.03_Ind01'!$D$15:$G$15</c:f>
              <c:numCache>
                <c:formatCode>0.00%</c:formatCode>
                <c:ptCount val="4"/>
                <c:pt idx="0">
                  <c:v>0</c:v>
                </c:pt>
                <c:pt idx="1">
                  <c:v>0.94399999999999995</c:v>
                </c:pt>
                <c:pt idx="2">
                  <c:v>0</c:v>
                </c:pt>
                <c:pt idx="3">
                  <c:v>0.92600000000000005</c:v>
                </c:pt>
              </c:numCache>
            </c:numRef>
          </c:val>
          <c:extLst xmlns:c15="http://schemas.microsoft.com/office/drawing/2012/chart">
            <c:ext xmlns:c16="http://schemas.microsoft.com/office/drawing/2014/chart" uri="{C3380CC4-5D6E-409C-BE32-E72D297353CC}">
              <c16:uniqueId val="{00000009-9DE5-4695-9C8E-942A63CE7D64}"/>
            </c:ext>
          </c:extLst>
        </c:ser>
        <c:ser>
          <c:idx val="2"/>
          <c:order val="2"/>
          <c:tx>
            <c:strRef>
              <c:f>'PS5.03_Ind01'!$B$16</c:f>
              <c:strCache>
                <c:ptCount val="1"/>
                <c:pt idx="0">
                  <c:v>Física</c:v>
                </c:pt>
              </c:strCache>
              <c:extLst xmlns:c15="http://schemas.microsoft.com/office/drawing/2012/chart"/>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'PS5.03_Ind01'!$D$16:$G$16</c:f>
              <c:numCache>
                <c:formatCode>0.00%</c:formatCode>
                <c:ptCount val="4"/>
                <c:pt idx="0">
                  <c:v>0</c:v>
                </c:pt>
                <c:pt idx="1">
                  <c:v>0</c:v>
                </c:pt>
                <c:pt idx="2">
                  <c:v>0.91700000000000004</c:v>
                </c:pt>
                <c:pt idx="3">
                  <c:v>0.95</c:v>
                </c:pt>
              </c:numCache>
            </c:numRef>
          </c:val>
          <c:extLst xmlns:c15="http://schemas.microsoft.com/office/drawing/2012/chart">
            <c:ext xmlns:c16="http://schemas.microsoft.com/office/drawing/2014/chart" uri="{C3380CC4-5D6E-409C-BE32-E72D297353CC}">
              <c16:uniqueId val="{0000000A-9DE5-4695-9C8E-942A63CE7D64}"/>
            </c:ext>
          </c:extLst>
        </c:ser>
        <c:ser>
          <c:idx val="3"/>
          <c:order val="3"/>
          <c:tx>
            <c:strRef>
              <c:f>'PS5.03_Ind01'!$B$17</c:f>
              <c:strCache>
                <c:ptCount val="1"/>
                <c:pt idx="0">
                  <c:v>Geologia</c:v>
                </c:pt>
              </c:strCache>
              <c:extLst xmlns:c15="http://schemas.microsoft.com/office/drawing/2012/chart"/>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'PS5.03_Ind01'!$D$17:$G$17</c:f>
              <c:numCache>
                <c:formatCode>0.00%</c:formatCode>
                <c:ptCount val="4"/>
                <c:pt idx="0">
                  <c:v>0</c:v>
                </c:pt>
                <c:pt idx="1">
                  <c:v>0.69599999999999995</c:v>
                </c:pt>
                <c:pt idx="2">
                  <c:v>0.89500000000000002</c:v>
                </c:pt>
                <c:pt idx="3">
                  <c:v>0.93200000000000005</c:v>
                </c:pt>
              </c:numCache>
            </c:numRef>
          </c:val>
          <c:extLst xmlns:c15="http://schemas.microsoft.com/office/drawing/2012/chart">
            <c:ext xmlns:c16="http://schemas.microsoft.com/office/drawing/2014/chart" uri="{C3380CC4-5D6E-409C-BE32-E72D297353CC}">
              <c16:uniqueId val="{0000000B-9DE5-4695-9C8E-942A63CE7D64}"/>
            </c:ext>
          </c:extLst>
        </c:ser>
        <c:ser>
          <c:idx val="4"/>
          <c:order val="4"/>
          <c:tx>
            <c:strRef>
              <c:f>'PS5.03_Ind01'!$B$18</c:f>
              <c:strCache>
                <c:ptCount val="1"/>
                <c:pt idx="0">
                  <c:v>Matemàtica Computacional i Analítica de Dades</c:v>
                </c:pt>
              </c:strCache>
              <c:extLst xmlns:c15="http://schemas.microsoft.com/office/drawing/2012/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'PS5.03_Ind01'!$D$18:$G$18</c:f>
              <c:numCache>
                <c:formatCode>0.00%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C-9DE5-4695-9C8E-942A63CE7D64}"/>
            </c:ext>
          </c:extLst>
        </c:ser>
        <c:ser>
          <c:idx val="5"/>
          <c:order val="5"/>
          <c:tx>
            <c:strRef>
              <c:f>'PS5.03_Ind01'!$B$19</c:f>
              <c:strCache>
                <c:ptCount val="1"/>
                <c:pt idx="0">
                  <c:v>Matemàtiques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'PS5.03_Ind01'!$D$19:$F$19</c:f>
              <c:numCache>
                <c:formatCode>0.00%</c:formatCode>
                <c:ptCount val="3"/>
                <c:pt idx="0">
                  <c:v>0</c:v>
                </c:pt>
                <c:pt idx="1">
                  <c:v>0</c:v>
                </c:pt>
                <c:pt idx="2">
                  <c:v>0</c:v>
                </c:pt>
              </c:numCache>
              <c:extLst xmlns:c15="http://schemas.microsoft.com/office/drawing/2012/chart"/>
            </c:numRef>
          </c:val>
          <c:extLst xmlns:c15="http://schemas.microsoft.com/office/drawing/2012/chart">
            <c:ext xmlns:c16="http://schemas.microsoft.com/office/drawing/2014/chart" uri="{C3380CC4-5D6E-409C-BE32-E72D297353CC}">
              <c16:uniqueId val="{0000000D-9DE5-4695-9C8E-942A63CE7D64}"/>
            </c:ext>
          </c:extLst>
        </c:ser>
        <c:ser>
          <c:idx val="6"/>
          <c:order val="6"/>
          <c:tx>
            <c:strRef>
              <c:f>'PS5.03_Ind01'!$B$20</c:f>
              <c:strCache>
                <c:ptCount val="1"/>
                <c:pt idx="0">
                  <c:v>Nanociència i Nanotecnologia</c:v>
                </c:pt>
              </c:strCache>
              <c:extLst xmlns:c15="http://schemas.microsoft.com/office/drawing/2012/chart"/>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'PS5.03_Ind01'!$D$20:$G$20</c:f>
              <c:numCache>
                <c:formatCode>0.00%</c:formatCode>
                <c:ptCount val="4"/>
                <c:pt idx="0">
                  <c:v>0</c:v>
                </c:pt>
                <c:pt idx="1">
                  <c:v>0</c:v>
                </c:pt>
                <c:pt idx="2">
                  <c:v>0.89700000000000002</c:v>
                </c:pt>
                <c:pt idx="3">
                  <c:v>0.83599999999999997</c:v>
                </c:pt>
              </c:numCache>
            </c:numRef>
          </c:val>
          <c:extLst xmlns:c15="http://schemas.microsoft.com/office/drawing/2012/chart">
            <c:ext xmlns:c16="http://schemas.microsoft.com/office/drawing/2014/chart" uri="{C3380CC4-5D6E-409C-BE32-E72D297353CC}">
              <c16:uniqueId val="{0000000E-9DE5-4695-9C8E-942A63CE7D64}"/>
            </c:ext>
          </c:extLst>
        </c:ser>
        <c:ser>
          <c:idx val="7"/>
          <c:order val="7"/>
          <c:tx>
            <c:strRef>
              <c:f>'PS5.03_Ind01'!$B$21</c:f>
              <c:strCache>
                <c:ptCount val="1"/>
                <c:pt idx="0">
                  <c:v>Química</c:v>
                </c:pt>
              </c:strCache>
              <c:extLst xmlns:c15="http://schemas.microsoft.com/office/drawing/2012/chart"/>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'PS5.03_Ind01'!$D$21:$G$21</c:f>
              <c:numCache>
                <c:formatCode>0.00%</c:formatCode>
                <c:ptCount val="4"/>
                <c:pt idx="0">
                  <c:v>0.81299999999999994</c:v>
                </c:pt>
                <c:pt idx="1">
                  <c:v>0.91800000000000004</c:v>
                </c:pt>
                <c:pt idx="2">
                  <c:v>0.90900000000000003</c:v>
                </c:pt>
                <c:pt idx="3">
                  <c:v>0.90100000000000002</c:v>
                </c:pt>
              </c:numCache>
            </c:numRef>
          </c:val>
          <c:extLst xmlns:c15="http://schemas.microsoft.com/office/drawing/2012/chart">
            <c:ext xmlns:c16="http://schemas.microsoft.com/office/drawing/2014/chart" uri="{C3380CC4-5D6E-409C-BE32-E72D297353CC}">
              <c16:uniqueId val="{0000000F-9DE5-4695-9C8E-942A63CE7D64}"/>
            </c:ext>
          </c:extLst>
        </c:ser>
        <c:ser>
          <c:idx val="8"/>
          <c:order val="8"/>
          <c:tx>
            <c:strRef>
              <c:f>'PS5.03_Ind01'!$B$22</c:f>
              <c:strCache>
                <c:ptCount val="1"/>
                <c:pt idx="0">
                  <c:v>Estudis Interdisciplinaris en Sostenibilitat Ambiental, Econòmica i Social</c:v>
                </c:pt>
              </c:strCache>
              <c:extLst xmlns:c15="http://schemas.microsoft.com/office/drawing/2012/chart"/>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'PS5.03_Ind01'!$D$22:$G$22</c:f>
              <c:numCache>
                <c:formatCode>0.00%</c:formatCode>
                <c:ptCount val="4"/>
                <c:pt idx="0">
                  <c:v>0.878</c:v>
                </c:pt>
                <c:pt idx="1">
                  <c:v>0.92200000000000004</c:v>
                </c:pt>
                <c:pt idx="2">
                  <c:v>0.875</c:v>
                </c:pt>
                <c:pt idx="3">
                  <c:v>0.9</c:v>
                </c:pt>
              </c:numCache>
            </c:numRef>
          </c:val>
          <c:extLst xmlns:c15="http://schemas.microsoft.com/office/drawing/2012/chart">
            <c:ext xmlns:c16="http://schemas.microsoft.com/office/drawing/2014/chart" uri="{C3380CC4-5D6E-409C-BE32-E72D297353CC}">
              <c16:uniqueId val="{00000010-9DE5-4695-9C8E-942A63CE7D64}"/>
            </c:ext>
          </c:extLst>
        </c:ser>
        <c:ser>
          <c:idx val="9"/>
          <c:order val="9"/>
          <c:tx>
            <c:strRef>
              <c:f>'PS5.03_Ind01'!$B$23</c:f>
              <c:strCache>
                <c:ptCount val="1"/>
                <c:pt idx="0">
                  <c:v>Física d’Altes Energies, Astrofísica i Cosmologia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'PS5.03_Ind01'!$D$23:$G$23</c:f>
              <c:numCache>
                <c:formatCode>0.00%</c:formatCode>
                <c:ptCount val="4"/>
                <c:pt idx="0">
                  <c:v>0</c:v>
                </c:pt>
                <c:pt idx="1">
                  <c:v>0.85699999999999998</c:v>
                </c:pt>
                <c:pt idx="2">
                  <c:v>0</c:v>
                </c:pt>
                <c:pt idx="3">
                  <c:v>0.95199999999999996</c:v>
                </c:pt>
              </c:numCache>
            </c:numRef>
          </c:val>
          <c:extLst>
            <c:ext xmlns:c16="http://schemas.microsoft.com/office/drawing/2014/chart" uri="{C3380CC4-5D6E-409C-BE32-E72D297353CC}">
              <c16:uniqueId val="{00000000-9DE5-4695-9C8E-942A63CE7D64}"/>
            </c:ext>
          </c:extLst>
        </c:ser>
        <c:ser>
          <c:idx val="10"/>
          <c:order val="10"/>
          <c:tx>
            <c:strRef>
              <c:f>'PS5.03_Ind01'!$B$24</c:f>
              <c:strCache>
                <c:ptCount val="1"/>
                <c:pt idx="0">
                  <c:v>Història de la Ciència: Ciència, Història i Societat</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'PS5.03_Ind01'!$D$24:$G$24</c:f>
              <c:numCache>
                <c:formatCode>0.00%</c:formatCode>
                <c:ptCount val="4"/>
                <c:pt idx="0">
                  <c:v>0.71899999999999997</c:v>
                </c:pt>
                <c:pt idx="1">
                  <c:v>0.81299999999999994</c:v>
                </c:pt>
                <c:pt idx="2">
                  <c:v>0.877</c:v>
                </c:pt>
                <c:pt idx="3">
                  <c:v>0.76500000000000001</c:v>
                </c:pt>
              </c:numCache>
            </c:numRef>
          </c:val>
          <c:extLst>
            <c:ext xmlns:c16="http://schemas.microsoft.com/office/drawing/2014/chart" uri="{C3380CC4-5D6E-409C-BE32-E72D297353CC}">
              <c16:uniqueId val="{00000001-9DE5-4695-9C8E-942A63CE7D64}"/>
            </c:ext>
          </c:extLst>
        </c:ser>
        <c:ser>
          <c:idx val="11"/>
          <c:order val="11"/>
          <c:tx>
            <c:strRef>
              <c:f>'PS5.03_Ind01'!$B$25</c:f>
              <c:strCache>
                <c:ptCount val="1"/>
                <c:pt idx="0">
                  <c:v>Modelització per a la Ciència i l'Enginyeria </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'PS5.03_Ind01'!$D$25:$G$25</c:f>
              <c:numCache>
                <c:formatCode>0.00%</c:formatCode>
                <c:ptCount val="4"/>
                <c:pt idx="0">
                  <c:v>0.89400000000000002</c:v>
                </c:pt>
                <c:pt idx="1">
                  <c:v>0.91200000000000003</c:v>
                </c:pt>
                <c:pt idx="2">
                  <c:v>0.94399999999999995</c:v>
                </c:pt>
                <c:pt idx="3">
                  <c:v>0.92300000000000004</c:v>
                </c:pt>
              </c:numCache>
            </c:numRef>
          </c:val>
          <c:extLst>
            <c:ext xmlns:c16="http://schemas.microsoft.com/office/drawing/2014/chart" uri="{C3380CC4-5D6E-409C-BE32-E72D297353CC}">
              <c16:uniqueId val="{00000002-9DE5-4695-9C8E-942A63CE7D64}"/>
            </c:ext>
          </c:extLst>
        </c:ser>
        <c:ser>
          <c:idx val="12"/>
          <c:order val="12"/>
          <c:tx>
            <c:strRef>
              <c:f>'PS5.03_Ind01'!$B$26</c:f>
              <c:strCache>
                <c:ptCount val="1"/>
                <c:pt idx="0">
                  <c:v>Nanociència i Nanotecnologia Avançades</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'PS5.03_Ind01'!$D$26:$G$26</c:f>
              <c:numCache>
                <c:formatCode>0.00%</c:formatCode>
                <c:ptCount val="4"/>
                <c:pt idx="0">
                  <c:v>0</c:v>
                </c:pt>
                <c:pt idx="1">
                  <c:v>0</c:v>
                </c:pt>
                <c:pt idx="2">
                  <c:v>0</c:v>
                </c:pt>
                <c:pt idx="3">
                  <c:v>0.95499999999999996</c:v>
                </c:pt>
              </c:numCache>
            </c:numRef>
          </c:val>
          <c:extLst>
            <c:ext xmlns:c16="http://schemas.microsoft.com/office/drawing/2014/chart" uri="{C3380CC4-5D6E-409C-BE32-E72D297353CC}">
              <c16:uniqueId val="{00000003-9DE5-4695-9C8E-942A63CE7D64}"/>
            </c:ext>
          </c:extLst>
        </c:ser>
        <c:ser>
          <c:idx val="13"/>
          <c:order val="13"/>
          <c:tx>
            <c:strRef>
              <c:f>'PS5.03_Ind01'!$B$27</c:f>
              <c:strCache>
                <c:ptCount val="1"/>
                <c:pt idx="0">
                  <c:v>Paleobiologia i Registre Fòssil</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'PS5.03_Ind01'!$D$27:$G$27</c:f>
              <c:numCache>
                <c:formatCode>0.00%</c:formatCode>
                <c:ptCount val="4"/>
                <c:pt idx="0">
                  <c:v>0.83599999999999997</c:v>
                </c:pt>
                <c:pt idx="1">
                  <c:v>0.88900000000000001</c:v>
                </c:pt>
                <c:pt idx="2">
                  <c:v>0.88</c:v>
                </c:pt>
                <c:pt idx="3">
                  <c:v>0.85699999999999998</c:v>
                </c:pt>
              </c:numCache>
            </c:numRef>
          </c:val>
          <c:extLst>
            <c:ext xmlns:c16="http://schemas.microsoft.com/office/drawing/2014/chart" uri="{C3380CC4-5D6E-409C-BE32-E72D297353CC}">
              <c16:uniqueId val="{00000004-9DE5-4695-9C8E-942A63CE7D64}"/>
            </c:ext>
          </c:extLst>
        </c:ser>
        <c:ser>
          <c:idx val="14"/>
          <c:order val="14"/>
          <c:tx>
            <c:strRef>
              <c:f>'PS5.03_Ind01'!$B$28</c:f>
              <c:strCache>
                <c:ptCount val="1"/>
                <c:pt idx="0">
                  <c:v> Química Industrial i Introducció a la Recerca Química </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1"/>
            <c:invertIfNegative val="0"/>
            <c:bubble3D val="0"/>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solidFill>
                  <a:schemeClr val="accent2"/>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1-9DE5-4695-9C8E-942A63CE7D64}"/>
              </c:ext>
            </c:extLst>
          </c:dPt>
          <c:cat>
            <c:numRef>
              <c:f>'PS5.03_Ind01'!$D$13:$G$13</c:f>
              <c:numCache>
                <c:formatCode>General</c:formatCode>
                <c:ptCount val="4"/>
                <c:pt idx="0">
                  <c:v>2014</c:v>
                </c:pt>
                <c:pt idx="1">
                  <c:v>2017</c:v>
                </c:pt>
                <c:pt idx="2">
                  <c:v>2020</c:v>
                </c:pt>
                <c:pt idx="3">
                  <c:v>2023</c:v>
                </c:pt>
              </c:numCache>
            </c:numRef>
          </c:cat>
          <c:val>
            <c:numRef>
              <c:f>'PS5.03_Ind01'!$D$28:$G$28</c:f>
              <c:numCache>
                <c:formatCode>0.00%</c:formatCode>
                <c:ptCount val="4"/>
                <c:pt idx="0">
                  <c:v>0.95</c:v>
                </c:pt>
                <c:pt idx="1">
                  <c:v>0.69199999999999995</c:v>
                </c:pt>
                <c:pt idx="2">
                  <c:v>0.82899999999999996</c:v>
                </c:pt>
                <c:pt idx="3">
                  <c:v>0.92200000000000004</c:v>
                </c:pt>
              </c:numCache>
            </c:numRef>
          </c:val>
          <c:extLst>
            <c:ext xmlns:c16="http://schemas.microsoft.com/office/drawing/2014/chart" uri="{C3380CC4-5D6E-409C-BE32-E72D297353CC}">
              <c16:uniqueId val="{00000005-9DE5-4695-9C8E-942A63CE7D64}"/>
            </c:ext>
          </c:extLst>
        </c:ser>
        <c:ser>
          <c:idx val="15"/>
          <c:order val="15"/>
          <c:tx>
            <c:strRef>
              <c:f>'PS5.03_Ind01'!$B$29</c:f>
              <c:strCache>
                <c:ptCount val="1"/>
                <c:pt idx="0">
                  <c:v>&gt;=70%</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'PS5.03_Ind01'!$D$29:$G$29</c:f>
              <c:numCache>
                <c:formatCode>0</c:formatCode>
                <c:ptCount val="4"/>
                <c:pt idx="0">
                  <c:v>7</c:v>
                </c:pt>
                <c:pt idx="1">
                  <c:v>8</c:v>
                </c:pt>
                <c:pt idx="2">
                  <c:v>10</c:v>
                </c:pt>
                <c:pt idx="3">
                  <c:v>14</c:v>
                </c:pt>
              </c:numCache>
            </c:numRef>
          </c:val>
          <c:extLst>
            <c:ext xmlns:c16="http://schemas.microsoft.com/office/drawing/2014/chart" uri="{C3380CC4-5D6E-409C-BE32-E72D297353CC}">
              <c16:uniqueId val="{00000006-9DE5-4695-9C8E-942A63CE7D64}"/>
            </c:ext>
          </c:extLst>
        </c:ser>
        <c:dLbls>
          <c:showLegendKey val="0"/>
          <c:showVal val="0"/>
          <c:showCatName val="0"/>
          <c:showSerName val="0"/>
          <c:showPercent val="0"/>
          <c:showBubbleSize val="0"/>
        </c:dLbls>
        <c:gapWidth val="100"/>
        <c:axId val="135195375"/>
        <c:axId val="135197871"/>
        <c:extLst>
          <c:ext xmlns:c15="http://schemas.microsoft.com/office/drawing/2012/chart" uri="{02D57815-91ED-43cb-92C2-25804820EDAC}">
            <c15:filteredBarSeries>
              <c15: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uri="{02D57815-91ED-43cb-92C2-25804820EDAC}">
                        <c15:formulaRef>
                          <c15:sqref>'PS5.03_Ind01'!$D$13:$G$13</c15:sqref>
                        </c15:formulaRef>
                      </c:ext>
                    </c:extLst>
                    <c:numCache>
                      <c:formatCode>General</c:formatCode>
                      <c:ptCount val="4"/>
                      <c:pt idx="0">
                        <c:v>2014</c:v>
                      </c:pt>
                      <c:pt idx="1">
                        <c:v>2017</c:v>
                      </c:pt>
                      <c:pt idx="2">
                        <c:v>2020</c:v>
                      </c:pt>
                      <c:pt idx="3">
                        <c:v>2023</c:v>
                      </c:pt>
                    </c:numCache>
                  </c:numRef>
                </c:cat>
                <c:val>
                  <c:numRef>
                    <c:extLst>
                      <c:ext uri="{02D57815-91ED-43cb-92C2-25804820EDAC}">
                        <c15:formulaRef>
                          <c15:sqref>'PS5.03_Ind01'!$D$4</c15:sqref>
                        </c15:formulaRef>
                      </c:ext>
                    </c:extLst>
                    <c:numCache>
                      <c:formatCode>General</c:formatCode>
                      <c:ptCount val="1"/>
                      <c:pt idx="0">
                        <c:v>0</c:v>
                      </c:pt>
                    </c:numCache>
                  </c:numRef>
                </c:val>
                <c:extLst>
                  <c:ext xmlns:c16="http://schemas.microsoft.com/office/drawing/2014/chart" uri="{C3380CC4-5D6E-409C-BE32-E72D297353CC}">
                    <c16:uniqueId val="{00000008-9DE5-4695-9C8E-942A63CE7D64}"/>
                  </c:ext>
                </c:extLst>
              </c15:ser>
            </c15:filteredBarSeries>
          </c:ext>
        </c:extLst>
      </c:barChart>
      <c:lineChart>
        <c:grouping val="standard"/>
        <c:varyColors val="0"/>
        <c:ser>
          <c:idx val="16"/>
          <c:order val="16"/>
          <c:tx>
            <c:strRef>
              <c:f>'PS5.03_Ind01'!$B$32</c:f>
              <c:strCache>
                <c:ptCount val="1"/>
                <c:pt idx="0">
                  <c:v>Compliment</c:v>
                </c:pt>
              </c:strCache>
            </c:strRef>
          </c:tx>
          <c:spPr>
            <a:ln w="34925" cap="rnd">
              <a:solidFill>
                <a:schemeClr val="accent5">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w="9525">
                <a:solidFill>
                  <a:schemeClr val="accent5">
                    <a:lumMod val="80000"/>
                    <a:lumOff val="20000"/>
                  </a:schemeClr>
                </a:solidFill>
                <a:round/>
              </a:ln>
              <a:effectLst>
                <a:outerShdw blurRad="57150" dist="19050" dir="5400000" algn="ctr" rotWithShape="0">
                  <a:srgbClr val="000000">
                    <a:alpha val="63000"/>
                  </a:srgbClr>
                </a:outerShdw>
              </a:effectLst>
            </c:spPr>
          </c:marker>
          <c:cat>
            <c:numRef>
              <c:f>'PS5.03_Ind01'!$D$14:$F$14</c:f>
              <c:numCache>
                <c:formatCode>0.00%</c:formatCode>
                <c:ptCount val="3"/>
                <c:pt idx="0">
                  <c:v>0.7</c:v>
                </c:pt>
                <c:pt idx="1">
                  <c:v>0.84199999999999997</c:v>
                </c:pt>
                <c:pt idx="2">
                  <c:v>0.71099999999999997</c:v>
                </c:pt>
              </c:numCache>
            </c:numRef>
          </c:cat>
          <c:val>
            <c:numRef>
              <c:f>'PS5.03_Ind01'!$D$32:$G$32</c:f>
              <c:numCache>
                <c:formatCode>0.00%</c:formatCode>
                <c:ptCount val="4"/>
                <c:pt idx="0">
                  <c:v>1</c:v>
                </c:pt>
                <c:pt idx="1">
                  <c:v>0.8</c:v>
                </c:pt>
                <c:pt idx="2">
                  <c:v>1</c:v>
                </c:pt>
                <c:pt idx="3">
                  <c:v>1</c:v>
                </c:pt>
              </c:numCache>
            </c:numRef>
          </c:val>
          <c:smooth val="0"/>
          <c:extLst>
            <c:ext xmlns:c16="http://schemas.microsoft.com/office/drawing/2014/chart" uri="{C3380CC4-5D6E-409C-BE32-E72D297353CC}">
              <c16:uniqueId val="{00000007-9DE5-4695-9C8E-942A63CE7D64}"/>
            </c:ext>
          </c:extLst>
        </c:ser>
        <c:dLbls>
          <c:showLegendKey val="0"/>
          <c:showVal val="0"/>
          <c:showCatName val="0"/>
          <c:showSerName val="0"/>
          <c:showPercent val="0"/>
          <c:showBubbleSize val="0"/>
        </c:dLbls>
        <c:marker val="1"/>
        <c:smooth val="0"/>
        <c:axId val="135195375"/>
        <c:axId val="135197871"/>
      </c:lineChart>
      <c:catAx>
        <c:axId val="135195375"/>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197871"/>
        <c:crosses val="autoZero"/>
        <c:auto val="1"/>
        <c:lblAlgn val="ctr"/>
        <c:lblOffset val="100"/>
        <c:noMultiLvlLbl val="0"/>
      </c:catAx>
      <c:valAx>
        <c:axId val="135197871"/>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1953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PS5.03_INd02</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4.1405121395737779E-2"/>
          <c:y val="0.10644490644490645"/>
          <c:w val="0.60374658792675917"/>
          <c:h val="0.8326264726264726"/>
        </c:manualLayout>
      </c:layout>
      <c:barChart>
        <c:barDir val="col"/>
        <c:grouping val="clustered"/>
        <c:varyColors val="0"/>
        <c:ser>
          <c:idx val="0"/>
          <c:order val="0"/>
          <c:tx>
            <c:strRef>
              <c:f>'PS5.03_Ind02'!$B$31</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'PS5.03_Ind02'!$C$31:$E$31</c:f>
              <c:numCache>
                <c:formatCode>General</c:formatCode>
                <c:ptCount val="3"/>
              </c:numCache>
            </c:numRef>
          </c:val>
          <c:extLst>
            <c:ext xmlns:c16="http://schemas.microsoft.com/office/drawing/2014/chart" uri="{C3380CC4-5D6E-409C-BE32-E72D297353CC}">
              <c16:uniqueId val="{00000000-09AE-4725-A6F7-9D00F75EB8B6}"/>
            </c:ext>
          </c:extLst>
        </c:ser>
        <c:ser>
          <c:idx val="1"/>
          <c:order val="1"/>
          <c:tx>
            <c:strRef>
              <c:f>'PS5.03_Ind02'!$B$14</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'PS5.03_Ind02'!$F$14:$I$14</c:f>
              <c:numCache>
                <c:formatCode>General</c:formatCode>
                <c:ptCount val="4"/>
                <c:pt idx="0">
                  <c:v>48</c:v>
                </c:pt>
                <c:pt idx="1">
                  <c:v>44</c:v>
                </c:pt>
                <c:pt idx="2">
                  <c:v>50</c:v>
                </c:pt>
                <c:pt idx="3">
                  <c:v>26</c:v>
                </c:pt>
              </c:numCache>
            </c:numRef>
          </c:val>
          <c:extLst>
            <c:ext xmlns:c16="http://schemas.microsoft.com/office/drawing/2014/chart" uri="{C3380CC4-5D6E-409C-BE32-E72D297353CC}">
              <c16:uniqueId val="{00000001-09AE-4725-A6F7-9D00F75EB8B6}"/>
            </c:ext>
          </c:extLst>
        </c:ser>
        <c:ser>
          <c:idx val="2"/>
          <c:order val="2"/>
          <c:tx>
            <c:strRef>
              <c:f>'PS5.03_Ind02'!$B$15</c:f>
              <c:strCache>
                <c:ptCount val="1"/>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'PS5.03_Ind02'!$F$15:$I$15</c:f>
              <c:numCache>
                <c:formatCode>General</c:formatCode>
                <c:ptCount val="4"/>
                <c:pt idx="0">
                  <c:v>18</c:v>
                </c:pt>
                <c:pt idx="1">
                  <c:v>15</c:v>
                </c:pt>
                <c:pt idx="2">
                  <c:v>27</c:v>
                </c:pt>
                <c:pt idx="3">
                  <c:v>29</c:v>
                </c:pt>
              </c:numCache>
            </c:numRef>
          </c:val>
          <c:extLst>
            <c:ext xmlns:c16="http://schemas.microsoft.com/office/drawing/2014/chart" uri="{C3380CC4-5D6E-409C-BE32-E72D297353CC}">
              <c16:uniqueId val="{00000002-09AE-4725-A6F7-9D00F75EB8B6}"/>
            </c:ext>
          </c:extLst>
        </c:ser>
        <c:ser>
          <c:idx val="3"/>
          <c:order val="3"/>
          <c:tx>
            <c:strRef>
              <c:f>'PS5.03_Ind02'!$B$16</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'PS5.03_Ind02'!$F$16:$I$16</c:f>
              <c:numCache>
                <c:formatCode>General</c:formatCode>
                <c:ptCount val="4"/>
                <c:pt idx="0">
                  <c:v>40</c:v>
                </c:pt>
                <c:pt idx="1">
                  <c:v>39</c:v>
                </c:pt>
                <c:pt idx="2">
                  <c:v>46</c:v>
                </c:pt>
                <c:pt idx="3">
                  <c:v>41</c:v>
                </c:pt>
              </c:numCache>
            </c:numRef>
          </c:val>
          <c:extLst>
            <c:ext xmlns:c16="http://schemas.microsoft.com/office/drawing/2014/chart" uri="{C3380CC4-5D6E-409C-BE32-E72D297353CC}">
              <c16:uniqueId val="{00000003-09AE-4725-A6F7-9D00F75EB8B6}"/>
            </c:ext>
          </c:extLst>
        </c:ser>
        <c:ser>
          <c:idx val="4"/>
          <c:order val="4"/>
          <c:tx>
            <c:strRef>
              <c:f>'PS5.03_Ind02'!$B$17</c:f>
              <c:strCache>
                <c:ptCount val="1"/>
                <c:pt idx="0">
                  <c:v>Geologia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'PS5.03_Ind02'!$F$17:$I$17</c:f>
              <c:numCache>
                <c:formatCode>General</c:formatCode>
                <c:ptCount val="4"/>
                <c:pt idx="0">
                  <c:v>52</c:v>
                </c:pt>
                <c:pt idx="1">
                  <c:v>40</c:v>
                </c:pt>
                <c:pt idx="2">
                  <c:v>38</c:v>
                </c:pt>
                <c:pt idx="3">
                  <c:v>40</c:v>
                </c:pt>
              </c:numCache>
            </c:numRef>
          </c:val>
          <c:extLst>
            <c:ext xmlns:c16="http://schemas.microsoft.com/office/drawing/2014/chart" uri="{C3380CC4-5D6E-409C-BE32-E72D297353CC}">
              <c16:uniqueId val="{00000004-09AE-4725-A6F7-9D00F75EB8B6}"/>
            </c:ext>
          </c:extLst>
        </c:ser>
        <c:ser>
          <c:idx val="5"/>
          <c:order val="5"/>
          <c:tx>
            <c:strRef>
              <c:f>'PS5.03_Ind02'!$B$18</c:f>
              <c:strCache>
                <c:ptCount val="1"/>
                <c:pt idx="0">
                  <c:v>Matemàtica Computacional i Analítica de Dades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'PS5.03_Ind02'!$F$18:$I$18</c:f>
              <c:numCache>
                <c:formatCode>General</c:formatCode>
                <c:ptCount val="4"/>
                <c:pt idx="0">
                  <c:v>0</c:v>
                </c:pt>
                <c:pt idx="1">
                  <c:v>15</c:v>
                </c:pt>
                <c:pt idx="2">
                  <c:v>28</c:v>
                </c:pt>
                <c:pt idx="3">
                  <c:v>37</c:v>
                </c:pt>
              </c:numCache>
            </c:numRef>
          </c:val>
          <c:extLst>
            <c:ext xmlns:c16="http://schemas.microsoft.com/office/drawing/2014/chart" uri="{C3380CC4-5D6E-409C-BE32-E72D297353CC}">
              <c16:uniqueId val="{00000005-09AE-4725-A6F7-9D00F75EB8B6}"/>
            </c:ext>
          </c:extLst>
        </c:ser>
        <c:ser>
          <c:idx val="6"/>
          <c:order val="6"/>
          <c:tx>
            <c:strRef>
              <c:f>'PS5.03_Ind02'!$B$19</c:f>
              <c:strCache>
                <c:ptCount val="1"/>
                <c:pt idx="0">
                  <c:v>Matemàtiques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'PS5.03_Ind02'!$F$19:$I$19</c:f>
              <c:numCache>
                <c:formatCode>General</c:formatCode>
                <c:ptCount val="4"/>
                <c:pt idx="0">
                  <c:v>33</c:v>
                </c:pt>
                <c:pt idx="1">
                  <c:v>50</c:v>
                </c:pt>
                <c:pt idx="2">
                  <c:v>38</c:v>
                </c:pt>
                <c:pt idx="3">
                  <c:v>47</c:v>
                </c:pt>
              </c:numCache>
            </c:numRef>
          </c:val>
          <c:extLst>
            <c:ext xmlns:c16="http://schemas.microsoft.com/office/drawing/2014/chart" uri="{C3380CC4-5D6E-409C-BE32-E72D297353CC}">
              <c16:uniqueId val="{00000006-09AE-4725-A6F7-9D00F75EB8B6}"/>
            </c:ext>
          </c:extLst>
        </c:ser>
        <c:ser>
          <c:idx val="7"/>
          <c:order val="7"/>
          <c:tx>
            <c:strRef>
              <c:f>'PS5.03_Ind02'!$B$20</c:f>
              <c:strCache>
                <c:ptCount val="1"/>
                <c:pt idx="0">
                  <c:v>Nanociència i Nanotecnologia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'PS5.03_Ind02'!$F$20:$I$20</c:f>
              <c:numCache>
                <c:formatCode>General</c:formatCode>
                <c:ptCount val="4"/>
                <c:pt idx="0">
                  <c:v>19</c:v>
                </c:pt>
                <c:pt idx="1">
                  <c:v>19</c:v>
                </c:pt>
                <c:pt idx="2">
                  <c:v>25</c:v>
                </c:pt>
                <c:pt idx="3">
                  <c:v>33</c:v>
                </c:pt>
              </c:numCache>
            </c:numRef>
          </c:val>
          <c:extLst>
            <c:ext xmlns:c16="http://schemas.microsoft.com/office/drawing/2014/chart" uri="{C3380CC4-5D6E-409C-BE32-E72D297353CC}">
              <c16:uniqueId val="{00000007-09AE-4725-A6F7-9D00F75EB8B6}"/>
            </c:ext>
          </c:extLst>
        </c:ser>
        <c:ser>
          <c:idx val="8"/>
          <c:order val="8"/>
          <c:tx>
            <c:strRef>
              <c:f>'PS5.03_Ind02'!$B$21</c:f>
              <c:strCache>
                <c:ptCount val="1"/>
                <c:pt idx="0">
                  <c:v>Química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'PS5.03_Ind02'!$F$21:$I$21</c:f>
              <c:numCache>
                <c:formatCode>General</c:formatCode>
                <c:ptCount val="4"/>
                <c:pt idx="0">
                  <c:v>39</c:v>
                </c:pt>
                <c:pt idx="1">
                  <c:v>48</c:v>
                </c:pt>
                <c:pt idx="2">
                  <c:v>68</c:v>
                </c:pt>
                <c:pt idx="3">
                  <c:v>69</c:v>
                </c:pt>
              </c:numCache>
            </c:numRef>
          </c:val>
          <c:extLst>
            <c:ext xmlns:c16="http://schemas.microsoft.com/office/drawing/2014/chart" uri="{C3380CC4-5D6E-409C-BE32-E72D297353CC}">
              <c16:uniqueId val="{00000008-09AE-4725-A6F7-9D00F75EB8B6}"/>
            </c:ext>
          </c:extLst>
        </c:ser>
        <c:ser>
          <c:idx val="9"/>
          <c:order val="9"/>
          <c:tx>
            <c:strRef>
              <c:f>'PS5.03_Ind02'!$B$22</c:f>
              <c:strCache>
                <c:ptCount val="1"/>
                <c:pt idx="0">
                  <c:v>Modelització per a la Ciència i l'Enginyeria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'PS5.03_Ind02'!$F$22:$I$22</c:f>
              <c:numCache>
                <c:formatCode>General</c:formatCode>
                <c:ptCount val="4"/>
                <c:pt idx="0">
                  <c:v>38</c:v>
                </c:pt>
                <c:pt idx="1">
                  <c:v>24</c:v>
                </c:pt>
                <c:pt idx="2">
                  <c:v>35</c:v>
                </c:pt>
                <c:pt idx="3">
                  <c:v>46</c:v>
                </c:pt>
              </c:numCache>
            </c:numRef>
          </c:val>
          <c:extLst>
            <c:ext xmlns:c16="http://schemas.microsoft.com/office/drawing/2014/chart" uri="{C3380CC4-5D6E-409C-BE32-E72D297353CC}">
              <c16:uniqueId val="{00000009-09AE-4725-A6F7-9D00F75EB8B6}"/>
            </c:ext>
          </c:extLst>
        </c:ser>
        <c:ser>
          <c:idx val="10"/>
          <c:order val="10"/>
          <c:tx>
            <c:strRef>
              <c:f>'PS5.03_Ind02'!$B$23</c:f>
              <c:strCache>
                <c:ptCount val="1"/>
                <c:pt idx="0">
                  <c:v>Química Industrial i Introducció a la Recerca 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'PS5.03_Ind02'!$F$23:$I$23</c:f>
              <c:numCache>
                <c:formatCode>General</c:formatCode>
                <c:ptCount val="4"/>
                <c:pt idx="0">
                  <c:v>38</c:v>
                </c:pt>
                <c:pt idx="1">
                  <c:v>21</c:v>
                </c:pt>
                <c:pt idx="2">
                  <c:v>19</c:v>
                </c:pt>
                <c:pt idx="3">
                  <c:v>51</c:v>
                </c:pt>
              </c:numCache>
            </c:numRef>
          </c:val>
          <c:extLst>
            <c:ext xmlns:c16="http://schemas.microsoft.com/office/drawing/2014/chart" uri="{C3380CC4-5D6E-409C-BE32-E72D297353CC}">
              <c16:uniqueId val="{0000000A-09AE-4725-A6F7-9D00F75EB8B6}"/>
            </c:ext>
          </c:extLst>
        </c:ser>
        <c:ser>
          <c:idx val="11"/>
          <c:order val="11"/>
          <c:tx>
            <c:strRef>
              <c:f>'PS5.03_Ind02'!$B$24</c:f>
              <c:strCache>
                <c:ptCount val="1"/>
                <c:pt idx="0">
                  <c:v>Estudis Intersdisciplinars en Sost. Ambiental, Econ.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'PS5.03_Ind02'!$F$24:$I$24</c:f>
              <c:numCache>
                <c:formatCode>General</c:formatCode>
                <c:ptCount val="4"/>
                <c:pt idx="0">
                  <c:v>8</c:v>
                </c:pt>
                <c:pt idx="1">
                  <c:v>15</c:v>
                </c:pt>
                <c:pt idx="2">
                  <c:v>8</c:v>
                </c:pt>
                <c:pt idx="3">
                  <c:v>8</c:v>
                </c:pt>
              </c:numCache>
            </c:numRef>
          </c:val>
          <c:extLst>
            <c:ext xmlns:c16="http://schemas.microsoft.com/office/drawing/2014/chart" uri="{C3380CC4-5D6E-409C-BE32-E72D297353CC}">
              <c16:uniqueId val="{0000000B-09AE-4725-A6F7-9D00F75EB8B6}"/>
            </c:ext>
          </c:extLst>
        </c:ser>
        <c:ser>
          <c:idx val="12"/>
          <c:order val="12"/>
          <c:tx>
            <c:strRef>
              <c:f>'PS5.03_Ind02'!$B$25</c:f>
              <c:strCache>
                <c:ptCount val="1"/>
                <c:pt idx="0">
                  <c:v>Història de la Ciència: Ciència, Història i Societat</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'PS5.03_Ind02'!$F$25:$I$25</c:f>
              <c:numCache>
                <c:formatCode>General</c:formatCode>
                <c:ptCount val="4"/>
                <c:pt idx="0">
                  <c:v>9</c:v>
                </c:pt>
                <c:pt idx="1">
                  <c:v>10</c:v>
                </c:pt>
                <c:pt idx="2">
                  <c:v>6</c:v>
                </c:pt>
                <c:pt idx="3">
                  <c:v>7</c:v>
                </c:pt>
              </c:numCache>
            </c:numRef>
          </c:val>
          <c:extLst>
            <c:ext xmlns:c16="http://schemas.microsoft.com/office/drawing/2014/chart" uri="{C3380CC4-5D6E-409C-BE32-E72D297353CC}">
              <c16:uniqueId val="{0000000C-09AE-4725-A6F7-9D00F75EB8B6}"/>
            </c:ext>
          </c:extLst>
        </c:ser>
        <c:dLbls>
          <c:showLegendKey val="0"/>
          <c:showVal val="0"/>
          <c:showCatName val="0"/>
          <c:showSerName val="0"/>
          <c:showPercent val="0"/>
          <c:showBubbleSize val="0"/>
        </c:dLbls>
        <c:gapWidth val="100"/>
        <c:axId val="1270113392"/>
        <c:axId val="1381472720"/>
      </c:barChart>
      <c:lineChart>
        <c:grouping val="standard"/>
        <c:varyColors val="0"/>
        <c:ser>
          <c:idx val="13"/>
          <c:order val="13"/>
          <c:tx>
            <c:strRef>
              <c:f>'PS5.03_Ind02'!$B$28</c:f>
              <c:strCache>
                <c:ptCount val="1"/>
                <c:pt idx="0">
                  <c:v>Valor Objectiu</c:v>
                </c:pt>
              </c:strCache>
            </c:strRef>
          </c:tx>
          <c:spPr>
            <a:ln w="34925" cap="rnd">
              <a:solidFill>
                <a:schemeClr val="accent2">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w="9525">
                <a:solidFill>
                  <a:schemeClr val="accent2">
                    <a:lumMod val="80000"/>
                    <a:lumOff val="20000"/>
                  </a:schemeClr>
                </a:solidFill>
                <a:round/>
              </a:ln>
              <a:effectLst>
                <a:outerShdw blurRad="57150" dist="19050" dir="5400000" algn="ctr" rotWithShape="0">
                  <a:srgbClr val="000000">
                    <a:alpha val="63000"/>
                  </a:srgbClr>
                </a:outerShdw>
              </a:effectLst>
            </c:spPr>
          </c:marker>
          <c:cat>
            <c:strRef>
              <c:f>'PS5.03_Ind02'!$F$13:$I$13</c:f>
              <c:strCache>
                <c:ptCount val="4"/>
                <c:pt idx="0">
                  <c:v>2020/2021</c:v>
                </c:pt>
                <c:pt idx="1">
                  <c:v>2021/2022</c:v>
                </c:pt>
                <c:pt idx="2">
                  <c:v>2022/2023</c:v>
                </c:pt>
                <c:pt idx="3">
                  <c:v>2023/2024</c:v>
                </c:pt>
              </c:strCache>
            </c:strRef>
          </c:cat>
          <c:val>
            <c:numRef>
              <c:f>'PS5.03_Ind02'!$F$28:$I$28</c:f>
              <c:numCache>
                <c:formatCode>General</c:formatCode>
                <c:ptCount val="4"/>
                <c:pt idx="0">
                  <c:v>15</c:v>
                </c:pt>
                <c:pt idx="1">
                  <c:v>15</c:v>
                </c:pt>
                <c:pt idx="2">
                  <c:v>15</c:v>
                </c:pt>
                <c:pt idx="3">
                  <c:v>15</c:v>
                </c:pt>
              </c:numCache>
            </c:numRef>
          </c:val>
          <c:smooth val="0"/>
          <c:extLst>
            <c:ext xmlns:c16="http://schemas.microsoft.com/office/drawing/2014/chart" uri="{C3380CC4-5D6E-409C-BE32-E72D297353CC}">
              <c16:uniqueId val="{0000000D-09AE-4725-A6F7-9D00F75EB8B6}"/>
            </c:ext>
          </c:extLst>
        </c:ser>
        <c:dLbls>
          <c:showLegendKey val="0"/>
          <c:showVal val="0"/>
          <c:showCatName val="0"/>
          <c:showSerName val="0"/>
          <c:showPercent val="0"/>
          <c:showBubbleSize val="0"/>
        </c:dLbls>
        <c:marker val="1"/>
        <c:smooth val="0"/>
        <c:axId val="1270113392"/>
        <c:axId val="1381472720"/>
      </c:lineChart>
      <c:catAx>
        <c:axId val="12701133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81472720"/>
        <c:crosses val="autoZero"/>
        <c:auto val="1"/>
        <c:lblAlgn val="ctr"/>
        <c:lblOffset val="100"/>
        <c:noMultiLvlLbl val="0"/>
      </c:catAx>
      <c:valAx>
        <c:axId val="13814727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70113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PS5.03_Ind03. Valoració mitjana a l’afirmació “La formació rebuda m’ha permès millorar les capacitats per a l’activitat professional</a:t>
            </a:r>
            <a:r>
              <a:rPr lang="ca-ES" sz="1000">
                <a:effectLst/>
              </a:rPr>
              <a: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'PS5.03_Ind03'!$B$38</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'PS5.03_Ind03'!$C$38:$E$38</c:f>
              <c:numCache>
                <c:formatCode>General</c:formatCode>
                <c:ptCount val="3"/>
              </c:numCache>
            </c:numRef>
          </c:val>
          <c:extLst>
            <c:ext xmlns:c16="http://schemas.microsoft.com/office/drawing/2014/chart" uri="{C3380CC4-5D6E-409C-BE32-E72D297353CC}">
              <c16:uniqueId val="{00000000-AA25-4BB6-9A7F-643F6C492A31}"/>
            </c:ext>
          </c:extLst>
        </c:ser>
        <c:ser>
          <c:idx val="1"/>
          <c:order val="1"/>
          <c:tx>
            <c:strRef>
              <c:f>'PS5.03_Ind03'!$B$15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'PS5.03_Ind03'!$F$15:$I$15</c:f>
              <c:numCache>
                <c:formatCode>0.00</c:formatCode>
                <c:ptCount val="4"/>
                <c:pt idx="0">
                  <c:v>3.5</c:v>
                </c:pt>
                <c:pt idx="1">
                  <c:v>4.4000000000000004</c:v>
                </c:pt>
                <c:pt idx="2">
                  <c:v>3.12</c:v>
                </c:pt>
                <c:pt idx="3">
                  <c:v>3.58</c:v>
                </c:pt>
              </c:numCache>
            </c:numRef>
          </c:val>
          <c:extLst>
            <c:ext xmlns:c16="http://schemas.microsoft.com/office/drawing/2014/chart" uri="{C3380CC4-5D6E-409C-BE32-E72D297353CC}">
              <c16:uniqueId val="{00000001-AA25-4BB6-9A7F-643F6C492A31}"/>
            </c:ext>
          </c:extLst>
        </c:ser>
        <c:ser>
          <c:idx val="2"/>
          <c:order val="2"/>
          <c:tx>
            <c:strRef>
              <c:f>'PS5.03_Ind03'!$B$16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'PS5.03_Ind03'!$F$16:$I$16</c:f>
              <c:numCache>
                <c:formatCode>0.00</c:formatCode>
                <c:ptCount val="4"/>
                <c:pt idx="0">
                  <c:v>3.4</c:v>
                </c:pt>
                <c:pt idx="1">
                  <c:v>4</c:v>
                </c:pt>
                <c:pt idx="2">
                  <c:v>3.86</c:v>
                </c:pt>
                <c:pt idx="3">
                  <c:v>3.57</c:v>
                </c:pt>
              </c:numCache>
            </c:numRef>
          </c:val>
          <c:extLst>
            <c:ext xmlns:c16="http://schemas.microsoft.com/office/drawing/2014/chart" uri="{C3380CC4-5D6E-409C-BE32-E72D297353CC}">
              <c16:uniqueId val="{00000002-AA25-4BB6-9A7F-643F6C492A31}"/>
            </c:ext>
          </c:extLst>
        </c:ser>
        <c:ser>
          <c:idx val="3"/>
          <c:order val="3"/>
          <c:tx>
            <c:strRef>
              <c:f>'PS5.03_Ind03'!$B$17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'PS5.03_Ind03'!$F$17:$I$17</c:f>
              <c:numCache>
                <c:formatCode>0.00</c:formatCode>
                <c:ptCount val="4"/>
                <c:pt idx="0">
                  <c:v>4.5</c:v>
                </c:pt>
                <c:pt idx="1">
                  <c:v>2.5</c:v>
                </c:pt>
                <c:pt idx="2">
                  <c:v>4.67</c:v>
                </c:pt>
                <c:pt idx="3">
                  <c:v>4.1100000000000003</c:v>
                </c:pt>
              </c:numCache>
            </c:numRef>
          </c:val>
          <c:extLst>
            <c:ext xmlns:c16="http://schemas.microsoft.com/office/drawing/2014/chart" uri="{C3380CC4-5D6E-409C-BE32-E72D297353CC}">
              <c16:uniqueId val="{00000003-AA25-4BB6-9A7F-643F6C492A31}"/>
            </c:ext>
          </c:extLst>
        </c:ser>
        <c:ser>
          <c:idx val="4"/>
          <c:order val="4"/>
          <c:tx>
            <c:strRef>
              <c:f>'PS5.03_Ind03'!$B$18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'PS5.03_Ind03'!$F$18:$I$18</c:f>
              <c:numCache>
                <c:formatCode>0.00</c:formatCode>
                <c:ptCount val="4"/>
                <c:pt idx="0">
                  <c:v>3.46</c:v>
                </c:pt>
                <c:pt idx="1">
                  <c:v>2.5</c:v>
                </c:pt>
                <c:pt idx="2">
                  <c:v>3.71</c:v>
                </c:pt>
                <c:pt idx="3">
                  <c:v>3.8</c:v>
                </c:pt>
              </c:numCache>
            </c:numRef>
          </c:val>
          <c:extLst>
            <c:ext xmlns:c16="http://schemas.microsoft.com/office/drawing/2014/chart" uri="{C3380CC4-5D6E-409C-BE32-E72D297353CC}">
              <c16:uniqueId val="{00000004-AA25-4BB6-9A7F-643F6C492A31}"/>
            </c:ext>
          </c:extLst>
        </c:ser>
        <c:ser>
          <c:idx val="5"/>
          <c:order val="5"/>
          <c:tx>
            <c:strRef>
              <c:f>'PS5.03_Ind03'!$B$19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'PS5.03_Ind03'!$F$19:$I$19</c:f>
              <c:numCache>
                <c:formatCode>0.00</c:formatCode>
                <c:ptCount val="4"/>
                <c:pt idx="0">
                  <c:v>0</c:v>
                </c:pt>
                <c:pt idx="1">
                  <c:v>3</c:v>
                </c:pt>
                <c:pt idx="2">
                  <c:v>4</c:v>
                </c:pt>
                <c:pt idx="3">
                  <c:v>4.1399999999999997</c:v>
                </c:pt>
              </c:numCache>
            </c:numRef>
          </c:val>
          <c:extLst>
            <c:ext xmlns:c16="http://schemas.microsoft.com/office/drawing/2014/chart" uri="{C3380CC4-5D6E-409C-BE32-E72D297353CC}">
              <c16:uniqueId val="{00000005-AA25-4BB6-9A7F-643F6C492A31}"/>
            </c:ext>
          </c:extLst>
        </c:ser>
        <c:ser>
          <c:idx val="6"/>
          <c:order val="6"/>
          <c:tx>
            <c:strRef>
              <c:f>'PS5.03_Ind03'!$B$20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'PS5.03_Ind03'!$F$20:$I$20</c:f>
              <c:numCache>
                <c:formatCode>0.00</c:formatCode>
                <c:ptCount val="4"/>
                <c:pt idx="0">
                  <c:v>0</c:v>
                </c:pt>
                <c:pt idx="1">
                  <c:v>3.25</c:v>
                </c:pt>
                <c:pt idx="2">
                  <c:v>4.13</c:v>
                </c:pt>
                <c:pt idx="3">
                  <c:v>3.67</c:v>
                </c:pt>
              </c:numCache>
            </c:numRef>
          </c:val>
          <c:extLst>
            <c:ext xmlns:c16="http://schemas.microsoft.com/office/drawing/2014/chart" uri="{C3380CC4-5D6E-409C-BE32-E72D297353CC}">
              <c16:uniqueId val="{00000006-AA25-4BB6-9A7F-643F6C492A31}"/>
            </c:ext>
          </c:extLst>
        </c:ser>
        <c:ser>
          <c:idx val="7"/>
          <c:order val="7"/>
          <c:tx>
            <c:strRef>
              <c:f>'PS5.03_Ind03'!$B$21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'PS5.03_Ind03'!$F$21:$I$21</c:f>
              <c:numCache>
                <c:formatCode>0.00</c:formatCode>
                <c:ptCount val="4"/>
                <c:pt idx="0">
                  <c:v>0</c:v>
                </c:pt>
                <c:pt idx="1">
                  <c:v>0</c:v>
                </c:pt>
                <c:pt idx="2">
                  <c:v>3.86</c:v>
                </c:pt>
                <c:pt idx="3">
                  <c:v>0</c:v>
                </c:pt>
              </c:numCache>
            </c:numRef>
          </c:val>
          <c:extLst>
            <c:ext xmlns:c16="http://schemas.microsoft.com/office/drawing/2014/chart" uri="{C3380CC4-5D6E-409C-BE32-E72D297353CC}">
              <c16:uniqueId val="{00000007-AA25-4BB6-9A7F-643F6C492A31}"/>
            </c:ext>
          </c:extLst>
        </c:ser>
        <c:ser>
          <c:idx val="8"/>
          <c:order val="8"/>
          <c:tx>
            <c:strRef>
              <c:f>'PS5.03_Ind03'!$B$22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'PS5.03_Ind03'!$F$22:$I$22</c:f>
              <c:numCache>
                <c:formatCode>0.00</c:formatCode>
                <c:ptCount val="4"/>
                <c:pt idx="0">
                  <c:v>0</c:v>
                </c:pt>
                <c:pt idx="1">
                  <c:v>0</c:v>
                </c:pt>
                <c:pt idx="2">
                  <c:v>4.8600000000000003</c:v>
                </c:pt>
                <c:pt idx="3">
                  <c:v>4.3099999999999996</c:v>
                </c:pt>
              </c:numCache>
            </c:numRef>
          </c:val>
          <c:extLst>
            <c:ext xmlns:c16="http://schemas.microsoft.com/office/drawing/2014/chart" uri="{C3380CC4-5D6E-409C-BE32-E72D297353CC}">
              <c16:uniqueId val="{00000008-AA25-4BB6-9A7F-643F6C492A31}"/>
            </c:ext>
          </c:extLst>
        </c:ser>
        <c:ser>
          <c:idx val="9"/>
          <c:order val="9"/>
          <c:tx>
            <c:strRef>
              <c:f>'PS5.03_Ind03'!$B$23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'PS5.03_Ind03'!$F$23:$I$23</c:f>
              <c:numCache>
                <c:formatCode>0.00</c:formatCode>
                <c:ptCount val="4"/>
                <c:pt idx="0">
                  <c:v>4</c:v>
                </c:pt>
                <c:pt idx="1">
                  <c:v>1.6</c:v>
                </c:pt>
                <c:pt idx="2">
                  <c:v>3.87</c:v>
                </c:pt>
                <c:pt idx="3">
                  <c:v>3.92</c:v>
                </c:pt>
              </c:numCache>
            </c:numRef>
          </c:val>
          <c:extLst>
            <c:ext xmlns:c16="http://schemas.microsoft.com/office/drawing/2014/chart" uri="{C3380CC4-5D6E-409C-BE32-E72D297353CC}">
              <c16:uniqueId val="{00000009-AA25-4BB6-9A7F-643F6C492A31}"/>
            </c:ext>
          </c:extLst>
        </c:ser>
        <c:ser>
          <c:idx val="10"/>
          <c:order val="10"/>
          <c:tx>
            <c:strRef>
              <c:f>'PS5.03_Ind03'!$B$24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'PS5.03_Ind03'!$F$24:$I$24</c:f>
              <c:numCache>
                <c:formatCode>0.00</c:formatCode>
                <c:ptCount val="4"/>
                <c:pt idx="0">
                  <c:v>4.4000000000000004</c:v>
                </c:pt>
                <c:pt idx="1">
                  <c:v>2.5</c:v>
                </c:pt>
                <c:pt idx="2">
                  <c:v>3.82</c:v>
                </c:pt>
                <c:pt idx="3">
                  <c:v>3.73</c:v>
                </c:pt>
              </c:numCache>
            </c:numRef>
          </c:val>
          <c:extLst>
            <c:ext xmlns:c16="http://schemas.microsoft.com/office/drawing/2014/chart" uri="{C3380CC4-5D6E-409C-BE32-E72D297353CC}">
              <c16:uniqueId val="{0000000A-AA25-4BB6-9A7F-643F6C492A31}"/>
            </c:ext>
          </c:extLst>
        </c:ser>
        <c:ser>
          <c:idx val="11"/>
          <c:order val="11"/>
          <c:tx>
            <c:strRef>
              <c:f>'PS5.03_Ind03'!$B$25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'PS5.03_Ind03'!$F$25:$I$25</c:f>
              <c:numCache>
                <c:formatCode>0.00</c:formatCode>
                <c:ptCount val="4"/>
                <c:pt idx="0">
                  <c:v>3.08</c:v>
                </c:pt>
                <c:pt idx="1">
                  <c:v>3.75</c:v>
                </c:pt>
                <c:pt idx="2">
                  <c:v>3.89</c:v>
                </c:pt>
                <c:pt idx="3">
                  <c:v>3.88</c:v>
                </c:pt>
              </c:numCache>
            </c:numRef>
          </c:val>
          <c:extLst>
            <c:ext xmlns:c16="http://schemas.microsoft.com/office/drawing/2014/chart" uri="{C3380CC4-5D6E-409C-BE32-E72D297353CC}">
              <c16:uniqueId val="{0000000B-AA25-4BB6-9A7F-643F6C492A31}"/>
            </c:ext>
          </c:extLst>
        </c:ser>
        <c:ser>
          <c:idx val="12"/>
          <c:order val="12"/>
          <c:tx>
            <c:strRef>
              <c:f>'PS5.03_Ind03'!$B$26</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'PS5.03_Ind03'!$F$26:$I$26</c:f>
              <c:numCache>
                <c:formatCode>0.00</c:formatCode>
                <c:ptCount val="4"/>
                <c:pt idx="0">
                  <c:v>3.67</c:v>
                </c:pt>
                <c:pt idx="1">
                  <c:v>0</c:v>
                </c:pt>
                <c:pt idx="2">
                  <c:v>3.89</c:v>
                </c:pt>
                <c:pt idx="3">
                  <c:v>3</c:v>
                </c:pt>
              </c:numCache>
            </c:numRef>
          </c:val>
          <c:extLst>
            <c:ext xmlns:c16="http://schemas.microsoft.com/office/drawing/2014/chart" uri="{C3380CC4-5D6E-409C-BE32-E72D297353CC}">
              <c16:uniqueId val="{0000000C-AA25-4BB6-9A7F-643F6C492A31}"/>
            </c:ext>
          </c:extLst>
        </c:ser>
        <c:ser>
          <c:idx val="13"/>
          <c:order val="13"/>
          <c:tx>
            <c:strRef>
              <c:f>'PS5.03_Ind03'!$B$27</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'PS5.03_Ind03'!$F$27:$I$27</c:f>
              <c:numCache>
                <c:formatCode>0.00</c:formatCode>
                <c:ptCount val="4"/>
                <c:pt idx="0">
                  <c:v>0</c:v>
                </c:pt>
                <c:pt idx="1">
                  <c:v>0</c:v>
                </c:pt>
                <c:pt idx="2">
                  <c:v>3.88</c:v>
                </c:pt>
                <c:pt idx="3">
                  <c:v>0</c:v>
                </c:pt>
              </c:numCache>
            </c:numRef>
          </c:val>
          <c:extLst>
            <c:ext xmlns:c16="http://schemas.microsoft.com/office/drawing/2014/chart" uri="{C3380CC4-5D6E-409C-BE32-E72D297353CC}">
              <c16:uniqueId val="{0000000D-AA25-4BB6-9A7F-643F6C492A31}"/>
            </c:ext>
          </c:extLst>
        </c:ser>
        <c:ser>
          <c:idx val="14"/>
          <c:order val="14"/>
          <c:tx>
            <c:strRef>
              <c:f>'PS5.03_Ind03'!$B$28</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'PS5.03_Ind03'!$F$28:$I$28</c:f>
              <c:numCache>
                <c:formatCode>0.00</c:formatCode>
                <c:ptCount val="4"/>
                <c:pt idx="0">
                  <c:v>4.4400000000000004</c:v>
                </c:pt>
                <c:pt idx="1">
                  <c:v>0</c:v>
                </c:pt>
                <c:pt idx="2">
                  <c:v>3.6</c:v>
                </c:pt>
                <c:pt idx="3">
                  <c:v>4.4000000000000004</c:v>
                </c:pt>
              </c:numCache>
            </c:numRef>
          </c:val>
          <c:extLst>
            <c:ext xmlns:c16="http://schemas.microsoft.com/office/drawing/2014/chart" uri="{C3380CC4-5D6E-409C-BE32-E72D297353CC}">
              <c16:uniqueId val="{0000000E-AA25-4BB6-9A7F-643F6C492A31}"/>
            </c:ext>
          </c:extLst>
        </c:ser>
        <c:ser>
          <c:idx val="15"/>
          <c:order val="15"/>
          <c:tx>
            <c:strRef>
              <c:f>'PS5.03_Ind03'!$B$29</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'PS5.03_Ind03'!$F$29:$I$29</c:f>
              <c:numCache>
                <c:formatCode>0.00</c:formatCode>
                <c:ptCount val="4"/>
                <c:pt idx="0">
                  <c:v>0</c:v>
                </c:pt>
                <c:pt idx="1">
                  <c:v>2</c:v>
                </c:pt>
                <c:pt idx="2">
                  <c:v>4</c:v>
                </c:pt>
                <c:pt idx="3">
                  <c:v>3.9</c:v>
                </c:pt>
              </c:numCache>
            </c:numRef>
          </c:val>
          <c:extLst>
            <c:ext xmlns:c16="http://schemas.microsoft.com/office/drawing/2014/chart" uri="{C3380CC4-5D6E-409C-BE32-E72D297353CC}">
              <c16:uniqueId val="{0000000F-AA25-4BB6-9A7F-643F6C492A31}"/>
            </c:ext>
          </c:extLst>
        </c:ser>
        <c:ser>
          <c:idx val="16"/>
          <c:order val="16"/>
          <c:tx>
            <c:strRef>
              <c:f>'PS5.03_Ind03'!$B$30</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'PS5.03_Ind03'!$F$30:$I$30</c:f>
              <c:numCache>
                <c:formatCode>0.00</c:formatCode>
                <c:ptCount val="4"/>
                <c:pt idx="0">
                  <c:v>0</c:v>
                </c:pt>
                <c:pt idx="1">
                  <c:v>2</c:v>
                </c:pt>
                <c:pt idx="2">
                  <c:v>4.33</c:v>
                </c:pt>
                <c:pt idx="3">
                  <c:v>0</c:v>
                </c:pt>
              </c:numCache>
            </c:numRef>
          </c:val>
          <c:extLst>
            <c:ext xmlns:c16="http://schemas.microsoft.com/office/drawing/2014/chart" uri="{C3380CC4-5D6E-409C-BE32-E72D297353CC}">
              <c16:uniqueId val="{00000010-AA25-4BB6-9A7F-643F6C492A31}"/>
            </c:ext>
          </c:extLst>
        </c:ser>
        <c:ser>
          <c:idx val="17"/>
          <c:order val="17"/>
          <c:tx>
            <c:strRef>
              <c:f>'PS5.03_Ind03'!$B$31</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'PS5.03_Ind03'!$F$31:$I$31</c:f>
              <c:numCache>
                <c:formatCode>0.00</c:formatCode>
                <c:ptCount val="4"/>
                <c:pt idx="0">
                  <c:v>0</c:v>
                </c:pt>
                <c:pt idx="1">
                  <c:v>0</c:v>
                </c:pt>
                <c:pt idx="2">
                  <c:v>0</c:v>
                </c:pt>
                <c:pt idx="3">
                  <c:v>0</c:v>
                </c:pt>
              </c:numCache>
            </c:numRef>
          </c:val>
          <c:extLst>
            <c:ext xmlns:c16="http://schemas.microsoft.com/office/drawing/2014/chart" uri="{C3380CC4-5D6E-409C-BE32-E72D297353CC}">
              <c16:uniqueId val="{00000011-AA25-4BB6-9A7F-643F6C492A31}"/>
            </c:ext>
          </c:extLst>
        </c:ser>
        <c:ser>
          <c:idx val="18"/>
          <c:order val="18"/>
          <c:tx>
            <c:strRef>
              <c:f>'PS5.03_Ind03'!$B$32</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'PS5.03_Ind03'!$F$32:$I$32</c:f>
              <c:numCache>
                <c:formatCode>0.00</c:formatCode>
                <c:ptCount val="4"/>
                <c:pt idx="0">
                  <c:v>0</c:v>
                </c:pt>
                <c:pt idx="1">
                  <c:v>3</c:v>
                </c:pt>
                <c:pt idx="2">
                  <c:v>3.85</c:v>
                </c:pt>
                <c:pt idx="3">
                  <c:v>0</c:v>
                </c:pt>
              </c:numCache>
            </c:numRef>
          </c:val>
          <c:extLst>
            <c:ext xmlns:c16="http://schemas.microsoft.com/office/drawing/2014/chart" uri="{C3380CC4-5D6E-409C-BE32-E72D297353CC}">
              <c16:uniqueId val="{00000012-AA25-4BB6-9A7F-643F6C492A31}"/>
            </c:ext>
          </c:extLst>
        </c:ser>
        <c:dLbls>
          <c:showLegendKey val="0"/>
          <c:showVal val="0"/>
          <c:showCatName val="0"/>
          <c:showSerName val="0"/>
          <c:showPercent val="0"/>
          <c:showBubbleSize val="0"/>
        </c:dLbls>
        <c:gapWidth val="100"/>
        <c:axId val="1835227600"/>
        <c:axId val="1349764864"/>
      </c:barChart>
      <c:lineChart>
        <c:grouping val="standard"/>
        <c:varyColors val="0"/>
        <c:ser>
          <c:idx val="19"/>
          <c:order val="19"/>
          <c:tx>
            <c:strRef>
              <c:f>'PS5.03_Ind03'!$B$35</c:f>
              <c:strCache>
                <c:ptCount val="1"/>
                <c:pt idx="0">
                  <c:v>Valor objectiu</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Ref>
              <c:f>'PS5.03_Ind03'!$F$14:$I$14</c:f>
              <c:strCache>
                <c:ptCount val="4"/>
                <c:pt idx="0">
                  <c:v>2019/2020</c:v>
                </c:pt>
                <c:pt idx="1">
                  <c:v>2020/2021</c:v>
                </c:pt>
                <c:pt idx="2">
                  <c:v>2021/2022</c:v>
                </c:pt>
                <c:pt idx="3">
                  <c:v>2022/2023</c:v>
                </c:pt>
              </c:strCache>
            </c:strRef>
          </c:cat>
          <c:val>
            <c:numRef>
              <c:f>'PS5.03_Ind03'!$F$35:$I$35</c:f>
              <c:numCache>
                <c:formatCode>0.00</c:formatCode>
                <c:ptCount val="4"/>
                <c:pt idx="0">
                  <c:v>3.5</c:v>
                </c:pt>
                <c:pt idx="1">
                  <c:v>3.5</c:v>
                </c:pt>
                <c:pt idx="2">
                  <c:v>3.5</c:v>
                </c:pt>
                <c:pt idx="3">
                  <c:v>3.5</c:v>
                </c:pt>
              </c:numCache>
            </c:numRef>
          </c:val>
          <c:smooth val="0"/>
          <c:extLst>
            <c:ext xmlns:c16="http://schemas.microsoft.com/office/drawing/2014/chart" uri="{C3380CC4-5D6E-409C-BE32-E72D297353CC}">
              <c16:uniqueId val="{00000013-AA25-4BB6-9A7F-643F6C492A31}"/>
            </c:ext>
          </c:extLst>
        </c:ser>
        <c:dLbls>
          <c:showLegendKey val="0"/>
          <c:showVal val="0"/>
          <c:showCatName val="0"/>
          <c:showSerName val="0"/>
          <c:showPercent val="0"/>
          <c:showBubbleSize val="0"/>
        </c:dLbls>
        <c:marker val="1"/>
        <c:smooth val="0"/>
        <c:axId val="1835227600"/>
        <c:axId val="1349764864"/>
      </c:lineChart>
      <c:catAx>
        <c:axId val="18352276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9764864"/>
        <c:crosses val="autoZero"/>
        <c:auto val="1"/>
        <c:lblAlgn val="ctr"/>
        <c:lblOffset val="100"/>
        <c:noMultiLvlLbl val="0"/>
      </c:catAx>
      <c:valAx>
        <c:axId val="13497648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835227600"/>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PS5.03_Ind04</a:t>
            </a:r>
            <a:r>
              <a:rPr lang="ca-ES" sz="1200" b="1" baseline="0">
                <a:effectLst/>
              </a:rPr>
              <a:t> Evolució del nombre d'empreses (Indicador Pla Estratègic de 22/23 fins 24/25)</a:t>
            </a:r>
            <a:r>
              <a:rPr lang="ca-ES" sz="1200" b="1">
                <a:effectLst/>
              </a:rPr>
              <a:t>.</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1"/>
          <c:tx>
            <c:strRef>
              <c:f>'PS5.03_Ind04'!$B$15</c:f>
              <c:strCache>
                <c:ptCount val="1"/>
                <c:pt idx="0">
                  <c:v>Evolució del nombre d'empreses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val>
            <c:numRef>
              <c:f>'PS5.03_Ind04'!$D$15:$I$15</c:f>
              <c:numCache>
                <c:formatCode>General</c:formatCode>
                <c:ptCount val="6"/>
                <c:pt idx="0">
                  <c:v>0</c:v>
                </c:pt>
                <c:pt idx="1">
                  <c:v>153</c:v>
                </c:pt>
                <c:pt idx="2">
                  <c:v>159</c:v>
                </c:pt>
                <c:pt idx="3">
                  <c:v>188</c:v>
                </c:pt>
                <c:pt idx="4">
                  <c:v>233</c:v>
                </c:pt>
                <c:pt idx="5">
                  <c:v>242</c:v>
                </c:pt>
              </c:numCache>
            </c:numRef>
          </c:val>
          <c:extLst>
            <c:ext xmlns:c16="http://schemas.microsoft.com/office/drawing/2014/chart" uri="{C3380CC4-5D6E-409C-BE32-E72D297353CC}">
              <c16:uniqueId val="{00000000-A99C-46E4-A2FB-50C69ED7B6A7}"/>
            </c:ext>
          </c:extLst>
        </c:ser>
        <c:dLbls>
          <c:showLegendKey val="0"/>
          <c:showVal val="0"/>
          <c:showCatName val="0"/>
          <c:showSerName val="0"/>
          <c:showPercent val="0"/>
          <c:showBubbleSize val="0"/>
        </c:dLbls>
        <c:gapWidth val="150"/>
        <c:axId val="1377754480"/>
        <c:axId val="1765698976"/>
      </c:barChart>
      <c:lineChart>
        <c:grouping val="standard"/>
        <c:varyColors val="0"/>
        <c:ser>
          <c:idx val="17"/>
          <c:order val="0"/>
          <c:tx>
            <c:strRef>
              <c:f>'PS5.03_Ind04'!$B$17</c:f>
              <c:strCache>
                <c:ptCount val="1"/>
                <c:pt idx="0">
                  <c:v>Valor objectiu</c:v>
                </c:pt>
              </c:strCache>
            </c:strRef>
          </c:tx>
          <c:spPr>
            <a:ln w="34925" cap="rnd">
              <a:solidFill>
                <a:schemeClr val="accent6">
                  <a:lumMod val="80000"/>
                  <a:lumOff val="20000"/>
                </a:schemeClr>
              </a:solidFill>
              <a:round/>
            </a:ln>
            <a:effectLst>
              <a:outerShdw blurRad="57150" dist="19050" dir="5400000" algn="ctr" rotWithShape="0">
                <a:srgbClr val="000000">
                  <a:alpha val="63000"/>
                </a:srgbClr>
              </a:outerShdw>
            </a:effectLst>
          </c:spPr>
          <c:marker>
            <c:symbol val="none"/>
          </c:marker>
          <c:cat>
            <c:strRef>
              <c:f>'PS5.03_Ind04'!$D$14:$I$14</c:f>
              <c:strCache>
                <c:ptCount val="6"/>
                <c:pt idx="0">
                  <c:v>2018/2019</c:v>
                </c:pt>
                <c:pt idx="1">
                  <c:v>2019/2020</c:v>
                </c:pt>
                <c:pt idx="2">
                  <c:v>2020/2021</c:v>
                </c:pt>
                <c:pt idx="3">
                  <c:v>2021/2022</c:v>
                </c:pt>
                <c:pt idx="4">
                  <c:v>2022/2023</c:v>
                </c:pt>
                <c:pt idx="5">
                  <c:v>2023/2024</c:v>
                </c:pt>
              </c:strCache>
            </c:strRef>
          </c:cat>
          <c:val>
            <c:numRef>
              <c:f>'PS5.03_Ind04'!$D$17:$I$17</c:f>
              <c:numCache>
                <c:formatCode>General</c:formatCode>
                <c:ptCount val="6"/>
                <c:pt idx="0">
                  <c:v>0</c:v>
                </c:pt>
                <c:pt idx="1">
                  <c:v>10</c:v>
                </c:pt>
                <c:pt idx="2">
                  <c:v>10</c:v>
                </c:pt>
                <c:pt idx="3">
                  <c:v>10</c:v>
                </c:pt>
                <c:pt idx="4">
                  <c:v>10</c:v>
                </c:pt>
                <c:pt idx="5">
                  <c:v>10</c:v>
                </c:pt>
              </c:numCache>
            </c:numRef>
          </c:val>
          <c:smooth val="0"/>
          <c:extLst>
            <c:ext xmlns:c16="http://schemas.microsoft.com/office/drawing/2014/chart" uri="{C3380CC4-5D6E-409C-BE32-E72D297353CC}">
              <c16:uniqueId val="{00000001-FA1F-41E3-87DF-1FBB16F94A26}"/>
            </c:ext>
          </c:extLst>
        </c:ser>
        <c:dLbls>
          <c:showLegendKey val="0"/>
          <c:showVal val="0"/>
          <c:showCatName val="0"/>
          <c:showSerName val="0"/>
          <c:showPercent val="0"/>
          <c:showBubbleSize val="0"/>
        </c:dLbls>
        <c:marker val="1"/>
        <c:smooth val="0"/>
        <c:axId val="1377754480"/>
        <c:axId val="1765698976"/>
      </c:lineChart>
      <c:catAx>
        <c:axId val="13777544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65698976"/>
        <c:crosses val="autoZero"/>
        <c:auto val="1"/>
        <c:lblAlgn val="ctr"/>
        <c:lblOffset val="100"/>
        <c:noMultiLvlLbl val="0"/>
      </c:catAx>
      <c:valAx>
        <c:axId val="1765698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77754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1">
                <a:solidFill>
                  <a:srgbClr val="757575"/>
                </a:solidFill>
                <a:latin typeface="Arial"/>
              </a:defRPr>
            </a:pPr>
            <a:r>
              <a:rPr lang="en-US"/>
              <a:t> </a:t>
            </a:r>
          </a:p>
          <a:p>
            <a:pPr lvl="0">
              <a:defRPr sz="1400" b="1">
                <a:solidFill>
                  <a:srgbClr val="757575"/>
                </a:solidFill>
                <a:latin typeface="Arial"/>
              </a:defRPr>
            </a:pPr>
            <a:endParaRPr lang="en-US"/>
          </a:p>
        </c:rich>
      </c:tx>
      <c:layout>
        <c:manualLayout>
          <c:xMode val="edge"/>
          <c:yMode val="edge"/>
          <c:x val="0.26512189302279565"/>
          <c:y val="1.8713450292397661E-2"/>
        </c:manualLayout>
      </c:layout>
      <c:overlay val="0"/>
    </c:title>
    <c:autoTitleDeleted val="0"/>
    <c:plotArea>
      <c:layout/>
      <c:barChart>
        <c:barDir val="col"/>
        <c:grouping val="clustered"/>
        <c:varyColors val="1"/>
        <c:ser>
          <c:idx val="0"/>
          <c:order val="0"/>
          <c:invertIfNegative val="1"/>
          <c:cat>
            <c:strRef>
              <c:f>'PS5.04_Ind01'!$D$14:$J$14</c:f>
              <c:strCache>
                <c:ptCount val="7"/>
                <c:pt idx="0">
                  <c:v>2017/2018</c:v>
                </c:pt>
                <c:pt idx="1">
                  <c:v>2018/2019</c:v>
                </c:pt>
                <c:pt idx="2">
                  <c:v>2019/2020</c:v>
                </c:pt>
                <c:pt idx="3">
                  <c:v>2020/2021</c:v>
                </c:pt>
                <c:pt idx="4">
                  <c:v>2021/2022</c:v>
                </c:pt>
                <c:pt idx="5">
                  <c:v>2022/2023</c:v>
                </c:pt>
                <c:pt idx="6">
                  <c:v>2023/2024</c:v>
                </c:pt>
              </c:strCache>
            </c:strRef>
          </c:cat>
          <c:val>
            <c:numRef>
              <c:f>'PS5.04_Ind01'!$D$36:$J$36</c:f>
              <c:numCache>
                <c:formatCode>0.00%</c:formatCode>
                <c:ptCount val="7"/>
                <c:pt idx="0">
                  <c:v>0.1875</c:v>
                </c:pt>
                <c:pt idx="1">
                  <c:v>6.25E-2</c:v>
                </c:pt>
                <c:pt idx="2">
                  <c:v>6.25E-2</c:v>
                </c:pt>
                <c:pt idx="3">
                  <c:v>0.27777777777777779</c:v>
                </c:pt>
                <c:pt idx="4">
                  <c:v>0.17647058823529413</c:v>
                </c:pt>
                <c:pt idx="5">
                  <c:v>0.23529411764705882</c:v>
                </c:pt>
                <c:pt idx="6">
                  <c:v>0</c:v>
                </c:pt>
              </c:numCache>
            </c:numRef>
          </c:val>
          <c:extLst>
            <c:ext xmlns:c16="http://schemas.microsoft.com/office/drawing/2014/chart" uri="{C3380CC4-5D6E-409C-BE32-E72D297353CC}">
              <c16:uniqueId val="{00000000-980E-40E3-8192-E7391B8B2131}"/>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1"/>
          <c:tx>
            <c:strRef>
              <c:f>'PS5.04_Ind01'!$B$35</c:f>
              <c:strCache>
                <c:ptCount val="1"/>
                <c:pt idx="0">
                  <c:v>Valor objectiu</c:v>
                </c:pt>
              </c:strCache>
            </c:strRef>
          </c:tx>
          <c:marker>
            <c:symbol val="none"/>
          </c:marker>
          <c:cat>
            <c:strRef>
              <c:f>'PS5.04_Ind01'!$D$14:$J$14</c:f>
              <c:strCache>
                <c:ptCount val="7"/>
                <c:pt idx="0">
                  <c:v>2017/2018</c:v>
                </c:pt>
                <c:pt idx="1">
                  <c:v>2018/2019</c:v>
                </c:pt>
                <c:pt idx="2">
                  <c:v>2019/2020</c:v>
                </c:pt>
                <c:pt idx="3">
                  <c:v>2020/2021</c:v>
                </c:pt>
                <c:pt idx="4">
                  <c:v>2021/2022</c:v>
                </c:pt>
                <c:pt idx="5">
                  <c:v>2022/2023</c:v>
                </c:pt>
                <c:pt idx="6">
                  <c:v>2023/2024</c:v>
                </c:pt>
              </c:strCache>
            </c:strRef>
          </c:cat>
          <c:val>
            <c:numRef>
              <c:f>'PS5.04_Ind01'!$D$35:$J$35</c:f>
              <c:numCache>
                <c:formatCode>0.00%</c:formatCode>
                <c:ptCount val="7"/>
                <c:pt idx="0">
                  <c:v>0.4</c:v>
                </c:pt>
                <c:pt idx="1">
                  <c:v>0.4</c:v>
                </c:pt>
                <c:pt idx="2">
                  <c:v>0.4</c:v>
                </c:pt>
                <c:pt idx="3">
                  <c:v>0.4</c:v>
                </c:pt>
                <c:pt idx="4">
                  <c:v>0.4</c:v>
                </c:pt>
                <c:pt idx="5">
                  <c:v>0.4</c:v>
                </c:pt>
                <c:pt idx="6">
                  <c:v>0.4</c:v>
                </c:pt>
              </c:numCache>
            </c:numRef>
          </c:val>
          <c:smooth val="0"/>
          <c:extLst>
            <c:ext xmlns:c16="http://schemas.microsoft.com/office/drawing/2014/chart" uri="{C3380CC4-5D6E-409C-BE32-E72D297353CC}">
              <c16:uniqueId val="{00000000-71E1-4E1F-9827-61F2DB50B6B0}"/>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title>
          <c:tx>
            <c:rich>
              <a:bodyPr/>
              <a:lstStyle/>
              <a:p>
                <a:pPr lvl="0">
                  <a:defRPr b="0">
                    <a:solidFill>
                      <a:srgbClr val="000000"/>
                    </a:solidFill>
                    <a:latin typeface="+mn-lt"/>
                  </a:defRPr>
                </a:pPr>
                <a:endParaRPr lang="ca-ES"/>
              </a:p>
            </c:rich>
          </c:tx>
          <c:overlay val="0"/>
        </c:title>
        <c:numFmt formatCode="General" sourceLinked="1"/>
        <c:majorTickMark val="none"/>
        <c:minorTickMark val="none"/>
        <c:tickLblPos val="nextTo"/>
        <c:txPr>
          <a:bodyPr/>
          <a:lstStyle/>
          <a:p>
            <a:pPr lvl="0">
              <a:defRPr sz="660" b="0" baseline="0">
                <a:solidFill>
                  <a:srgbClr val="000000"/>
                </a:solidFill>
                <a:latin typeface="+mn-lt"/>
              </a:defRPr>
            </a:pPr>
            <a:endParaRPr lang="es-ES"/>
          </a:p>
        </c:txPr>
        <c:crossAx val="517237689"/>
        <c:crosses val="autoZero"/>
        <c:auto val="1"/>
        <c:lblAlgn val="ctr"/>
        <c:lblOffset val="100"/>
        <c:noMultiLvlLbl val="1"/>
      </c:catAx>
      <c:valAx>
        <c:axId val="51723768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ca-ES"/>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s-ES"/>
          </a:p>
        </c:txPr>
        <c:crossAx val="1151423127"/>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t>PE1.02_Ind03.</a:t>
            </a:r>
            <a:r>
              <a:rPr lang="ca-ES" sz="1200" baseline="0"/>
              <a:t> Distribució per categories del personal de Gestió de qualitat a la Facultat de Ciències</a:t>
            </a:r>
            <a:endParaRPr lang="ca-ES" sz="12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1"/>
          <c:order val="0"/>
          <c:tx>
            <c:strRef>
              <c:f>'PE1.02_Ind03'!$B$16:$C$16</c:f>
              <c:strCache>
                <c:ptCount val="2"/>
                <c:pt idx="0">
                  <c:v>Valor real</c:v>
                </c:pt>
              </c:strCache>
            </c:strRef>
          </c:tx>
          <c:spPr>
            <a:solidFill>
              <a:schemeClr val="accent1"/>
            </a:solidFill>
            <a:ln>
              <a:noFill/>
            </a:ln>
            <a:effectLst>
              <a:outerShdw blurRad="57150" dist="19050" dir="5400000" algn="ctr" rotWithShape="0">
                <a:srgbClr val="000000">
                  <a:alpha val="63000"/>
                </a:srgbClr>
              </a:outerShdw>
            </a:effectLst>
          </c:spPr>
          <c:invertIfNegative val="0"/>
          <c:cat>
            <c:strRef>
              <c:f>'PE1.02_Ind03'!$D$15:$I$15</c:f>
              <c:strCache>
                <c:ptCount val="6"/>
                <c:pt idx="0">
                  <c:v>2018/2019</c:v>
                </c:pt>
                <c:pt idx="1">
                  <c:v>2019/2020</c:v>
                </c:pt>
                <c:pt idx="2">
                  <c:v>2020/2021</c:v>
                </c:pt>
                <c:pt idx="3">
                  <c:v>2021/2022</c:v>
                </c:pt>
                <c:pt idx="4">
                  <c:v>2022/2023</c:v>
                </c:pt>
                <c:pt idx="5">
                  <c:v>2023/2024</c:v>
                </c:pt>
              </c:strCache>
            </c:strRef>
          </c:cat>
          <c:val>
            <c:numRef>
              <c:f>'PE1.02_Ind03'!$D$16:$I$16</c:f>
              <c:numCache>
                <c:formatCode>General</c:formatCode>
                <c:ptCount val="6"/>
                <c:pt idx="0">
                  <c:v>1</c:v>
                </c:pt>
                <c:pt idx="1">
                  <c:v>1</c:v>
                </c:pt>
                <c:pt idx="2">
                  <c:v>1</c:v>
                </c:pt>
                <c:pt idx="3">
                  <c:v>2</c:v>
                </c:pt>
                <c:pt idx="4">
                  <c:v>2</c:v>
                </c:pt>
                <c:pt idx="5">
                  <c:v>1.5</c:v>
                </c:pt>
              </c:numCache>
            </c:numRef>
          </c:val>
          <c:extLst>
            <c:ext xmlns:c16="http://schemas.microsoft.com/office/drawing/2014/chart" uri="{C3380CC4-5D6E-409C-BE32-E72D297353CC}">
              <c16:uniqueId val="{00000001-07A5-4322-A9C6-F7E25B9949B5}"/>
            </c:ext>
          </c:extLst>
        </c:ser>
        <c:dLbls>
          <c:showLegendKey val="0"/>
          <c:showVal val="0"/>
          <c:showCatName val="0"/>
          <c:showSerName val="0"/>
          <c:showPercent val="0"/>
          <c:showBubbleSize val="0"/>
        </c:dLbls>
        <c:gapWidth val="219"/>
        <c:axId val="814617023"/>
        <c:axId val="646314943"/>
      </c:barChart>
      <c:lineChart>
        <c:grouping val="standard"/>
        <c:varyColors val="0"/>
        <c:ser>
          <c:idx val="2"/>
          <c:order val="1"/>
          <c:tx>
            <c:strRef>
              <c:f>'PE1.02_Ind03'!$B$17:$C$17</c:f>
              <c:strCache>
                <c:ptCount val="2"/>
                <c:pt idx="0">
                  <c:v>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3"/>
                </a:solidFill>
                <a:round/>
              </a:ln>
              <a:effectLst>
                <a:outerShdw blurRad="57150" dist="19050" dir="5400000" algn="ctr" rotWithShape="0">
                  <a:srgbClr val="000000">
                    <a:alpha val="63000"/>
                  </a:srgbClr>
                </a:outerShdw>
              </a:effectLst>
            </c:spPr>
          </c:marker>
          <c:cat>
            <c:strRef>
              <c:f>'PE1.02_Ind03'!$D$15:$I$15</c:f>
              <c:strCache>
                <c:ptCount val="6"/>
                <c:pt idx="0">
                  <c:v>2018/2019</c:v>
                </c:pt>
                <c:pt idx="1">
                  <c:v>2019/2020</c:v>
                </c:pt>
                <c:pt idx="2">
                  <c:v>2020/2021</c:v>
                </c:pt>
                <c:pt idx="3">
                  <c:v>2021/2022</c:v>
                </c:pt>
                <c:pt idx="4">
                  <c:v>2022/2023</c:v>
                </c:pt>
                <c:pt idx="5">
                  <c:v>2023/2024</c:v>
                </c:pt>
              </c:strCache>
            </c:strRef>
          </c:cat>
          <c:val>
            <c:numRef>
              <c:f>'PE1.02_Ind03'!$D$17:$I$17</c:f>
              <c:numCache>
                <c:formatCode>General</c:formatCode>
                <c:ptCount val="6"/>
                <c:pt idx="0">
                  <c:v>2</c:v>
                </c:pt>
                <c:pt idx="1">
                  <c:v>2</c:v>
                </c:pt>
                <c:pt idx="2">
                  <c:v>2</c:v>
                </c:pt>
                <c:pt idx="3">
                  <c:v>2</c:v>
                </c:pt>
                <c:pt idx="4">
                  <c:v>2</c:v>
                </c:pt>
                <c:pt idx="5">
                  <c:v>2</c:v>
                </c:pt>
              </c:numCache>
            </c:numRef>
          </c:val>
          <c:smooth val="0"/>
          <c:extLst>
            <c:ext xmlns:c16="http://schemas.microsoft.com/office/drawing/2014/chart" uri="{C3380CC4-5D6E-409C-BE32-E72D297353CC}">
              <c16:uniqueId val="{00000002-07A5-4322-A9C6-F7E25B9949B5}"/>
            </c:ext>
          </c:extLst>
        </c:ser>
        <c:dLbls>
          <c:showLegendKey val="0"/>
          <c:showVal val="0"/>
          <c:showCatName val="0"/>
          <c:showSerName val="0"/>
          <c:showPercent val="0"/>
          <c:showBubbleSize val="0"/>
        </c:dLbls>
        <c:marker val="1"/>
        <c:smooth val="0"/>
        <c:axId val="814617023"/>
        <c:axId val="646314943"/>
      </c:lineChart>
      <c:catAx>
        <c:axId val="81461702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6314943"/>
        <c:crosses val="autoZero"/>
        <c:auto val="1"/>
        <c:lblAlgn val="ctr"/>
        <c:lblOffset val="100"/>
        <c:noMultiLvlLbl val="0"/>
      </c:catAx>
      <c:valAx>
        <c:axId val="646314943"/>
        <c:scaling>
          <c:orientation val="minMax"/>
          <c:max val="3"/>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14617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PS5.04_Ind01: Percentatge de participació a les enquestes PAAD</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5.4884844620039112E-2"/>
          <c:y val="0.17148024173470686"/>
          <c:w val="0.90673235641715266"/>
          <c:h val="0.76391006842619746"/>
        </c:manualLayout>
      </c:layout>
      <c:barChart>
        <c:barDir val="col"/>
        <c:grouping val="clustered"/>
        <c:varyColors val="0"/>
        <c:ser>
          <c:idx val="1"/>
          <c:order val="1"/>
          <c:tx>
            <c:strRef>
              <c:f>'PS5.04_Ind01'!$B$15</c:f>
              <c:strCache>
                <c:ptCount val="1"/>
                <c:pt idx="0">
                  <c:v>Ciències Ambientals</c:v>
                </c:pt>
              </c:strCache>
              <c:extLst xmlns:c15="http://schemas.microsoft.com/office/drawing/2012/chart"/>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'PS5.04_Ind01'!$E$15:$I$15</c:f>
              <c:numCache>
                <c:formatCode>0.00%</c:formatCode>
                <c:ptCount val="5"/>
                <c:pt idx="0">
                  <c:v>0.16699999999999998</c:v>
                </c:pt>
                <c:pt idx="1">
                  <c:v>9.6000000000000002E-2</c:v>
                </c:pt>
                <c:pt idx="2">
                  <c:v>0.2445</c:v>
                </c:pt>
                <c:pt idx="3">
                  <c:v>0.2235</c:v>
                </c:pt>
                <c:pt idx="4">
                  <c:v>0.38450000000000001</c:v>
                </c:pt>
              </c:numCache>
            </c:numRef>
          </c:val>
          <c:extLst xmlns:c15="http://schemas.microsoft.com/office/drawing/2012/chart">
            <c:ext xmlns:c16="http://schemas.microsoft.com/office/drawing/2014/chart" uri="{C3380CC4-5D6E-409C-BE32-E72D297353CC}">
              <c16:uniqueId val="{00000001-583C-4E24-A404-2FCD5B8C55C7}"/>
            </c:ext>
          </c:extLst>
        </c:ser>
        <c:ser>
          <c:idx val="2"/>
          <c:order val="2"/>
          <c:tx>
            <c:strRef>
              <c:f>'PS5.04_Ind01'!$B$16</c:f>
              <c:strCache>
                <c:ptCount val="1"/>
                <c:pt idx="0">
                  <c:v>Ciències Ambientals i Geologia</c:v>
                </c:pt>
              </c:strCache>
              <c:extLst xmlns:c15="http://schemas.microsoft.com/office/drawing/2012/chart"/>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'PS5.04_Ind01'!$E$16:$I$16</c:f>
              <c:numCache>
                <c:formatCode>0.00%</c:formatCode>
                <c:ptCount val="5"/>
                <c:pt idx="0">
                  <c:v>0</c:v>
                </c:pt>
                <c:pt idx="1">
                  <c:v>0</c:v>
                </c:pt>
                <c:pt idx="2">
                  <c:v>0.23499999999999999</c:v>
                </c:pt>
                <c:pt idx="3">
                  <c:v>0.2195</c:v>
                </c:pt>
                <c:pt idx="4">
                  <c:v>0.35649999999999998</c:v>
                </c:pt>
              </c:numCache>
            </c:numRef>
          </c:val>
          <c:extLst xmlns:c15="http://schemas.microsoft.com/office/drawing/2012/chart">
            <c:ext xmlns:c16="http://schemas.microsoft.com/office/drawing/2014/chart" uri="{C3380CC4-5D6E-409C-BE32-E72D297353CC}">
              <c16:uniqueId val="{00000002-583C-4E24-A404-2FCD5B8C55C7}"/>
            </c:ext>
          </c:extLst>
        </c:ser>
        <c:ser>
          <c:idx val="3"/>
          <c:order val="3"/>
          <c:tx>
            <c:strRef>
              <c:f>'PS5.04_Ind01'!$B$17</c:f>
              <c:strCache>
                <c:ptCount val="1"/>
                <c:pt idx="0">
                  <c:v>Estadística Aplicada   </c:v>
                </c:pt>
              </c:strCache>
              <c:extLst xmlns:c15="http://schemas.microsoft.com/office/drawing/2012/chart"/>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'PS5.04_Ind01'!$E$17:$I$17</c:f>
              <c:numCache>
                <c:formatCode>0.00%</c:formatCode>
                <c:ptCount val="5"/>
                <c:pt idx="0">
                  <c:v>0.19550000000000001</c:v>
                </c:pt>
                <c:pt idx="1">
                  <c:v>0.11900000000000001</c:v>
                </c:pt>
                <c:pt idx="2">
                  <c:v>0.27550000000000002</c:v>
                </c:pt>
                <c:pt idx="3">
                  <c:v>0.17949999999999999</c:v>
                </c:pt>
                <c:pt idx="4">
                  <c:v>0.32250000000000001</c:v>
                </c:pt>
              </c:numCache>
            </c:numRef>
          </c:val>
          <c:extLst xmlns:c15="http://schemas.microsoft.com/office/drawing/2012/chart">
            <c:ext xmlns:c16="http://schemas.microsoft.com/office/drawing/2014/chart" uri="{C3380CC4-5D6E-409C-BE32-E72D297353CC}">
              <c16:uniqueId val="{00000003-583C-4E24-A404-2FCD5B8C55C7}"/>
            </c:ext>
          </c:extLst>
        </c:ser>
        <c:ser>
          <c:idx val="4"/>
          <c:order val="4"/>
          <c:tx>
            <c:strRef>
              <c:f>'PS5.04_Ind01'!$B$18</c:f>
              <c:strCache>
                <c:ptCount val="1"/>
                <c:pt idx="0">
                  <c:v>Física</c:v>
                </c:pt>
              </c:strCache>
              <c:extLst xmlns:c15="http://schemas.microsoft.com/office/drawing/2012/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'PS5.04_Ind01'!$E$18:$I$18</c:f>
              <c:numCache>
                <c:formatCode>0.00%</c:formatCode>
                <c:ptCount val="5"/>
                <c:pt idx="0">
                  <c:v>0.214</c:v>
                </c:pt>
                <c:pt idx="1">
                  <c:v>0.1115</c:v>
                </c:pt>
                <c:pt idx="2">
                  <c:v>0.34599999999999997</c:v>
                </c:pt>
                <c:pt idx="3">
                  <c:v>0.32250000000000001</c:v>
                </c:pt>
                <c:pt idx="4">
                  <c:v>0.41949999999999998</c:v>
                </c:pt>
              </c:numCache>
            </c:numRef>
          </c:val>
          <c:extLst xmlns:c15="http://schemas.microsoft.com/office/drawing/2012/chart">
            <c:ext xmlns:c16="http://schemas.microsoft.com/office/drawing/2014/chart" uri="{C3380CC4-5D6E-409C-BE32-E72D297353CC}">
              <c16:uniqueId val="{00000004-583C-4E24-A404-2FCD5B8C55C7}"/>
            </c:ext>
          </c:extLst>
        </c:ser>
        <c:ser>
          <c:idx val="5"/>
          <c:order val="5"/>
          <c:tx>
            <c:strRef>
              <c:f>'PS5.04_Ind01'!$B$19</c:f>
              <c:strCache>
                <c:ptCount val="1"/>
                <c:pt idx="0">
                  <c:v>Física i Matemàtiques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'PS5.04_Ind01'!$E$19:$I$19</c:f>
              <c:numCache>
                <c:formatCode>0.00%</c:formatCode>
                <c:ptCount val="5"/>
                <c:pt idx="0">
                  <c:v>0.21449999999999997</c:v>
                </c:pt>
                <c:pt idx="1">
                  <c:v>0.11799999999999999</c:v>
                </c:pt>
                <c:pt idx="2">
                  <c:v>0.39500000000000002</c:v>
                </c:pt>
                <c:pt idx="3">
                  <c:v>0.41949999999999998</c:v>
                </c:pt>
                <c:pt idx="4">
                  <c:v>0.36349999999999999</c:v>
                </c:pt>
              </c:numCache>
            </c:numRef>
          </c:val>
          <c:extLst xmlns:c15="http://schemas.microsoft.com/office/drawing/2012/chart">
            <c:ext xmlns:c16="http://schemas.microsoft.com/office/drawing/2014/chart" uri="{C3380CC4-5D6E-409C-BE32-E72D297353CC}">
              <c16:uniqueId val="{00000005-583C-4E24-A404-2FCD5B8C55C7}"/>
            </c:ext>
          </c:extLst>
        </c:ser>
        <c:ser>
          <c:idx val="6"/>
          <c:order val="6"/>
          <c:tx>
            <c:strRef>
              <c:f>'PS5.04_Ind01'!$B$20</c:f>
              <c:strCache>
                <c:ptCount val="1"/>
                <c:pt idx="0">
                  <c:v>Física i Química</c:v>
                </c:pt>
              </c:strCache>
              <c:extLst xmlns:c15="http://schemas.microsoft.com/office/drawing/2012/chart"/>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'PS5.04_Ind01'!$E$20:$I$20</c:f>
              <c:numCache>
                <c:formatCode>0.00%</c:formatCode>
                <c:ptCount val="5"/>
                <c:pt idx="0">
                  <c:v>0.18049999999999999</c:v>
                </c:pt>
                <c:pt idx="1">
                  <c:v>0.11599999999999999</c:v>
                </c:pt>
                <c:pt idx="2">
                  <c:v>0.47549999999999998</c:v>
                </c:pt>
                <c:pt idx="3">
                  <c:v>0.48599999999999999</c:v>
                </c:pt>
                <c:pt idx="4">
                  <c:v>0.46949999999999997</c:v>
                </c:pt>
              </c:numCache>
            </c:numRef>
          </c:val>
          <c:extLst xmlns:c15="http://schemas.microsoft.com/office/drawing/2012/chart">
            <c:ext xmlns:c16="http://schemas.microsoft.com/office/drawing/2014/chart" uri="{C3380CC4-5D6E-409C-BE32-E72D297353CC}">
              <c16:uniqueId val="{00000006-583C-4E24-A404-2FCD5B8C55C7}"/>
            </c:ext>
          </c:extLst>
        </c:ser>
        <c:ser>
          <c:idx val="7"/>
          <c:order val="7"/>
          <c:tx>
            <c:strRef>
              <c:f>'PS5.04_Ind01'!$B$21</c:f>
              <c:strCache>
                <c:ptCount val="1"/>
                <c:pt idx="0">
                  <c:v>Geologia</c:v>
                </c:pt>
              </c:strCache>
              <c:extLst xmlns:c15="http://schemas.microsoft.com/office/drawing/2012/chart"/>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'PS5.04_Ind01'!$E$21:$I$21</c:f>
              <c:numCache>
                <c:formatCode>0.00%</c:formatCode>
                <c:ptCount val="5"/>
                <c:pt idx="0">
                  <c:v>0.2175</c:v>
                </c:pt>
                <c:pt idx="1">
                  <c:v>4.5999999999999999E-2</c:v>
                </c:pt>
                <c:pt idx="2">
                  <c:v>0.2215</c:v>
                </c:pt>
                <c:pt idx="3">
                  <c:v>0.22950000000000001</c:v>
                </c:pt>
                <c:pt idx="4">
                  <c:v>0.27</c:v>
                </c:pt>
              </c:numCache>
            </c:numRef>
          </c:val>
          <c:extLst xmlns:c15="http://schemas.microsoft.com/office/drawing/2012/chart">
            <c:ext xmlns:c16="http://schemas.microsoft.com/office/drawing/2014/chart" uri="{C3380CC4-5D6E-409C-BE32-E72D297353CC}">
              <c16:uniqueId val="{00000007-583C-4E24-A404-2FCD5B8C55C7}"/>
            </c:ext>
          </c:extLst>
        </c:ser>
        <c:ser>
          <c:idx val="8"/>
          <c:order val="8"/>
          <c:tx>
            <c:strRef>
              <c:f>'PS5.04_Ind01'!$B$22</c:f>
              <c:strCache>
                <c:ptCount val="1"/>
                <c:pt idx="0">
                  <c:v>Matemàtica Computacional</c:v>
                </c:pt>
              </c:strCache>
              <c:extLst xmlns:c15="http://schemas.microsoft.com/office/drawing/2012/chart"/>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'PS5.04_Ind01'!$E$22:$I$22</c:f>
              <c:numCache>
                <c:formatCode>0.00%</c:formatCode>
                <c:ptCount val="5"/>
                <c:pt idx="0">
                  <c:v>0</c:v>
                </c:pt>
                <c:pt idx="1">
                  <c:v>0</c:v>
                </c:pt>
                <c:pt idx="2">
                  <c:v>0.53400000000000003</c:v>
                </c:pt>
                <c:pt idx="3">
                  <c:v>0.40050000000000002</c:v>
                </c:pt>
                <c:pt idx="4">
                  <c:v>0.42449999999999999</c:v>
                </c:pt>
              </c:numCache>
            </c:numRef>
          </c:val>
          <c:extLst xmlns:c15="http://schemas.microsoft.com/office/drawing/2012/chart">
            <c:ext xmlns:c16="http://schemas.microsoft.com/office/drawing/2014/chart" uri="{C3380CC4-5D6E-409C-BE32-E72D297353CC}">
              <c16:uniqueId val="{00000008-583C-4E24-A404-2FCD5B8C55C7}"/>
            </c:ext>
          </c:extLst>
        </c:ser>
        <c:ser>
          <c:idx val="9"/>
          <c:order val="9"/>
          <c:tx>
            <c:strRef>
              <c:f>'PS5.04_Ind01'!$B$23</c:f>
              <c:strCache>
                <c:ptCount val="1"/>
                <c:pt idx="0">
                  <c:v>Matemàtiques</c:v>
                </c:pt>
              </c:strCache>
              <c:extLst xmlns:c15="http://schemas.microsoft.com/office/drawing/2012/chart"/>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'PS5.04_Ind01'!$E$23:$I$23</c:f>
              <c:numCache>
                <c:formatCode>0.00%</c:formatCode>
                <c:ptCount val="5"/>
                <c:pt idx="0">
                  <c:v>0.20350000000000001</c:v>
                </c:pt>
                <c:pt idx="1">
                  <c:v>0.11000000000000001</c:v>
                </c:pt>
                <c:pt idx="2">
                  <c:v>0.39550000000000002</c:v>
                </c:pt>
                <c:pt idx="3">
                  <c:v>0.39400000000000002</c:v>
                </c:pt>
                <c:pt idx="4">
                  <c:v>0.32950000000000002</c:v>
                </c:pt>
              </c:numCache>
            </c:numRef>
          </c:val>
          <c:extLst xmlns:c15="http://schemas.microsoft.com/office/drawing/2012/chart">
            <c:ext xmlns:c16="http://schemas.microsoft.com/office/drawing/2014/chart" uri="{C3380CC4-5D6E-409C-BE32-E72D297353CC}">
              <c16:uniqueId val="{00000009-583C-4E24-A404-2FCD5B8C55C7}"/>
            </c:ext>
          </c:extLst>
        </c:ser>
        <c:ser>
          <c:idx val="10"/>
          <c:order val="10"/>
          <c:tx>
            <c:strRef>
              <c:f>'PS5.04_Ind01'!$B$24</c:f>
              <c:strCache>
                <c:ptCount val="1"/>
                <c:pt idx="0">
                  <c:v>Nanociència i Nanotecnologia</c:v>
                </c:pt>
              </c:strCache>
              <c:extLst xmlns:c15="http://schemas.microsoft.com/office/drawing/2012/chart"/>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'PS5.04_Ind01'!$E$24:$I$24</c:f>
              <c:numCache>
                <c:formatCode>0.00%</c:formatCode>
                <c:ptCount val="5"/>
                <c:pt idx="0">
                  <c:v>0.14000000000000001</c:v>
                </c:pt>
                <c:pt idx="1">
                  <c:v>6.0999999999999999E-2</c:v>
                </c:pt>
                <c:pt idx="2">
                  <c:v>0.26</c:v>
                </c:pt>
                <c:pt idx="3">
                  <c:v>0.17749999999999999</c:v>
                </c:pt>
                <c:pt idx="4">
                  <c:v>0.24099999999999999</c:v>
                </c:pt>
              </c:numCache>
            </c:numRef>
          </c:val>
          <c:extLst xmlns:c15="http://schemas.microsoft.com/office/drawing/2012/chart">
            <c:ext xmlns:c16="http://schemas.microsoft.com/office/drawing/2014/chart" uri="{C3380CC4-5D6E-409C-BE32-E72D297353CC}">
              <c16:uniqueId val="{0000000A-583C-4E24-A404-2FCD5B8C55C7}"/>
            </c:ext>
          </c:extLst>
        </c:ser>
        <c:ser>
          <c:idx val="11"/>
          <c:order val="11"/>
          <c:tx>
            <c:strRef>
              <c:f>'PS5.04_Ind01'!$B$25</c:f>
              <c:strCache>
                <c:ptCount val="1"/>
                <c:pt idx="0">
                  <c:v>Química</c:v>
                </c:pt>
              </c:strCache>
              <c:extLst xmlns:c15="http://schemas.microsoft.com/office/drawing/2012/chart"/>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'PS5.04_Ind01'!$E$25:$I$25</c:f>
              <c:numCache>
                <c:formatCode>0.00%</c:formatCode>
                <c:ptCount val="5"/>
                <c:pt idx="0">
                  <c:v>0.13700000000000001</c:v>
                </c:pt>
                <c:pt idx="1">
                  <c:v>6.1499999999999999E-2</c:v>
                </c:pt>
                <c:pt idx="2">
                  <c:v>0.17749999999999999</c:v>
                </c:pt>
                <c:pt idx="3">
                  <c:v>0.19850000000000001</c:v>
                </c:pt>
                <c:pt idx="4">
                  <c:v>0.24149999999999999</c:v>
                </c:pt>
              </c:numCache>
            </c:numRef>
          </c:val>
          <c:extLst xmlns:c15="http://schemas.microsoft.com/office/drawing/2012/chart">
            <c:ext xmlns:c16="http://schemas.microsoft.com/office/drawing/2014/chart" uri="{C3380CC4-5D6E-409C-BE32-E72D297353CC}">
              <c16:uniqueId val="{0000000B-583C-4E24-A404-2FCD5B8C55C7}"/>
            </c:ext>
          </c:extLst>
        </c:ser>
        <c:ser>
          <c:idx val="12"/>
          <c:order val="12"/>
          <c:tx>
            <c:strRef>
              <c:f>'PS5.04_Ind01'!$B$26</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'PS5.04_Ind01'!$E$26:$I$26</c:f>
              <c:numCache>
                <c:formatCode>0.00%</c:formatCode>
                <c:ptCount val="5"/>
                <c:pt idx="0">
                  <c:v>0.2</c:v>
                </c:pt>
                <c:pt idx="1">
                  <c:v>0.1111</c:v>
                </c:pt>
                <c:pt idx="2">
                  <c:v>8.4500000000000006E-2</c:v>
                </c:pt>
                <c:pt idx="3">
                  <c:v>0.10299999999999999</c:v>
                </c:pt>
                <c:pt idx="4">
                  <c:v>0.17050000000000001</c:v>
                </c:pt>
              </c:numCache>
            </c:numRef>
          </c:val>
          <c:extLst>
            <c:ext xmlns:c16="http://schemas.microsoft.com/office/drawing/2014/chart" uri="{C3380CC4-5D6E-409C-BE32-E72D297353CC}">
              <c16:uniqueId val="{0000000C-583C-4E24-A404-2FCD5B8C55C7}"/>
            </c:ext>
          </c:extLst>
        </c:ser>
        <c:ser>
          <c:idx val="13"/>
          <c:order val="13"/>
          <c:tx>
            <c:strRef>
              <c:f>'PS5.04_Ind01'!$B$27</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'PS5.04_Ind01'!$E$27:$I$27</c:f>
              <c:numCache>
                <c:formatCode>0.00%</c:formatCode>
                <c:ptCount val="5"/>
                <c:pt idx="0">
                  <c:v>0.25649999999999995</c:v>
                </c:pt>
                <c:pt idx="1">
                  <c:v>6.6699999999999995E-2</c:v>
                </c:pt>
                <c:pt idx="2">
                  <c:v>0.222</c:v>
                </c:pt>
                <c:pt idx="3">
                  <c:v>0.13300000000000001</c:v>
                </c:pt>
                <c:pt idx="4">
                  <c:v>0.17199999999999999</c:v>
                </c:pt>
              </c:numCache>
            </c:numRef>
          </c:val>
          <c:extLst>
            <c:ext xmlns:c16="http://schemas.microsoft.com/office/drawing/2014/chart" uri="{C3380CC4-5D6E-409C-BE32-E72D297353CC}">
              <c16:uniqueId val="{0000000D-583C-4E24-A404-2FCD5B8C55C7}"/>
            </c:ext>
          </c:extLst>
        </c:ser>
        <c:ser>
          <c:idx val="14"/>
          <c:order val="14"/>
          <c:tx>
            <c:strRef>
              <c:f>'PS5.04_Ind01'!$B$28</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'PS5.04_Ind01'!$E$28:$I$28</c:f>
              <c:numCache>
                <c:formatCode>0.00%</c:formatCode>
                <c:ptCount val="5"/>
                <c:pt idx="0">
                  <c:v>0.3165</c:v>
                </c:pt>
                <c:pt idx="1">
                  <c:v>0.5625</c:v>
                </c:pt>
                <c:pt idx="2">
                  <c:v>0.84499999999999997</c:v>
                </c:pt>
                <c:pt idx="3">
                  <c:v>0.34599999999999997</c:v>
                </c:pt>
                <c:pt idx="4">
                  <c:v>0.308</c:v>
                </c:pt>
              </c:numCache>
            </c:numRef>
          </c:val>
          <c:extLst>
            <c:ext xmlns:c16="http://schemas.microsoft.com/office/drawing/2014/chart" uri="{C3380CC4-5D6E-409C-BE32-E72D297353CC}">
              <c16:uniqueId val="{0000000E-583C-4E24-A404-2FCD5B8C55C7}"/>
            </c:ext>
          </c:extLst>
        </c:ser>
        <c:ser>
          <c:idx val="15"/>
          <c:order val="15"/>
          <c:tx>
            <c:strRef>
              <c:f>'PS5.04_Ind01'!$B$29</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'PS5.04_Ind01'!$E$29:$I$29</c:f>
              <c:numCache>
                <c:formatCode>0.00%</c:formatCode>
                <c:ptCount val="5"/>
                <c:pt idx="0">
                  <c:v>5.5E-2</c:v>
                </c:pt>
                <c:pt idx="1">
                  <c:v>3.1300000000000001E-2</c:v>
                </c:pt>
                <c:pt idx="2">
                  <c:v>0.14899999999999999</c:v>
                </c:pt>
                <c:pt idx="3">
                  <c:v>0.13400000000000001</c:v>
                </c:pt>
                <c:pt idx="4">
                  <c:v>6.9000000000000006E-2</c:v>
                </c:pt>
              </c:numCache>
            </c:numRef>
          </c:val>
          <c:extLst>
            <c:ext xmlns:c16="http://schemas.microsoft.com/office/drawing/2014/chart" uri="{C3380CC4-5D6E-409C-BE32-E72D297353CC}">
              <c16:uniqueId val="{0000000F-583C-4E24-A404-2FCD5B8C55C7}"/>
            </c:ext>
          </c:extLst>
        </c:ser>
        <c:ser>
          <c:idx val="16"/>
          <c:order val="16"/>
          <c:tx>
            <c:strRef>
              <c:f>'PS5.04_Ind01'!$B$30</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'PS5.04_Ind01'!$E$30:$I$30</c:f>
              <c:numCache>
                <c:formatCode>0.00%</c:formatCode>
                <c:ptCount val="5"/>
                <c:pt idx="0">
                  <c:v>0.29600000000000004</c:v>
                </c:pt>
                <c:pt idx="1">
                  <c:v>0.17649999999999999</c:v>
                </c:pt>
                <c:pt idx="2">
                  <c:v>0.54500000000000004</c:v>
                </c:pt>
                <c:pt idx="3">
                  <c:v>0.33300000000000002</c:v>
                </c:pt>
                <c:pt idx="4">
                  <c:v>0.36099999999999999</c:v>
                </c:pt>
              </c:numCache>
            </c:numRef>
          </c:val>
          <c:extLst>
            <c:ext xmlns:c16="http://schemas.microsoft.com/office/drawing/2014/chart" uri="{C3380CC4-5D6E-409C-BE32-E72D297353CC}">
              <c16:uniqueId val="{00000010-583C-4E24-A404-2FCD5B8C55C7}"/>
            </c:ext>
          </c:extLst>
        </c:ser>
        <c:ser>
          <c:idx val="17"/>
          <c:order val="17"/>
          <c:tx>
            <c:strRef>
              <c:f>'PS5.04_Ind01'!$B$31</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'PS5.04_Ind01'!$E$32:$I$32</c:f>
              <c:numCache>
                <c:formatCode>0.00%</c:formatCode>
                <c:ptCount val="5"/>
                <c:pt idx="0">
                  <c:v>0.25</c:v>
                </c:pt>
                <c:pt idx="1">
                  <c:v>6.9800000000000001E-2</c:v>
                </c:pt>
                <c:pt idx="2">
                  <c:v>6.0999999999999999E-2</c:v>
                </c:pt>
                <c:pt idx="3">
                  <c:v>0.21099999999999999</c:v>
                </c:pt>
                <c:pt idx="4">
                  <c:v>0.72399999999999998</c:v>
                </c:pt>
              </c:numCache>
            </c:numRef>
          </c:val>
          <c:extLst>
            <c:ext xmlns:c16="http://schemas.microsoft.com/office/drawing/2014/chart" uri="{C3380CC4-5D6E-409C-BE32-E72D297353CC}">
              <c16:uniqueId val="{00000011-583C-4E24-A404-2FCD5B8C55C7}"/>
            </c:ext>
          </c:extLst>
        </c:ser>
        <c:ser>
          <c:idx val="18"/>
          <c:order val="18"/>
          <c:tx>
            <c:strRef>
              <c:f>'PS5.04_Ind01'!$B$32</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'PS5.04_Ind01'!$E$32:$I$32</c:f>
              <c:numCache>
                <c:formatCode>0.00%</c:formatCode>
                <c:ptCount val="5"/>
                <c:pt idx="0">
                  <c:v>0.25</c:v>
                </c:pt>
                <c:pt idx="1">
                  <c:v>6.9800000000000001E-2</c:v>
                </c:pt>
                <c:pt idx="2">
                  <c:v>6.0999999999999999E-2</c:v>
                </c:pt>
                <c:pt idx="3">
                  <c:v>0.21099999999999999</c:v>
                </c:pt>
                <c:pt idx="4">
                  <c:v>0.72399999999999998</c:v>
                </c:pt>
              </c:numCache>
            </c:numRef>
          </c:val>
          <c:extLst>
            <c:ext xmlns:c16="http://schemas.microsoft.com/office/drawing/2014/chart" uri="{C3380CC4-5D6E-409C-BE32-E72D297353CC}">
              <c16:uniqueId val="{00000012-583C-4E24-A404-2FCD5B8C55C7}"/>
            </c:ext>
          </c:extLst>
        </c:ser>
        <c:dLbls>
          <c:showLegendKey val="0"/>
          <c:showVal val="0"/>
          <c:showCatName val="0"/>
          <c:showSerName val="0"/>
          <c:showPercent val="0"/>
          <c:showBubbleSize val="0"/>
        </c:dLbls>
        <c:gapWidth val="100"/>
        <c:axId val="2076062687"/>
        <c:axId val="747117135"/>
        <c:extLst>
          <c:ext xmlns:c15="http://schemas.microsoft.com/office/drawing/2012/chart" uri="{02D57815-91ED-43cb-92C2-25804820EDAC}">
            <c15:filteredBarSeries>
              <c15: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uri="{02D57815-91ED-43cb-92C2-25804820EDAC}">
                        <c15:formulaRef>
                          <c15:sqref>'PS5.04_Ind01'!$E$14:$I$14</c15:sqref>
                        </c15:formulaRef>
                      </c:ext>
                    </c:extLst>
                    <c:strCache>
                      <c:ptCount val="5"/>
                      <c:pt idx="0">
                        <c:v>2018/2019</c:v>
                      </c:pt>
                      <c:pt idx="1">
                        <c:v>2019/2020</c:v>
                      </c:pt>
                      <c:pt idx="2">
                        <c:v>2020/2021</c:v>
                      </c:pt>
                      <c:pt idx="3">
                        <c:v>2021/2022</c:v>
                      </c:pt>
                      <c:pt idx="4">
                        <c:v>2022/2023</c:v>
                      </c:pt>
                    </c:strCache>
                  </c:strRef>
                </c:cat>
                <c:val>
                  <c:numRef>
                    <c:extLst>
                      <c:ext uri="{02D57815-91ED-43cb-92C2-25804820EDAC}">
                        <c15:formulaRef>
                          <c15:sqref>'PS5.04_Ind01'!$B$11</c15:sqref>
                        </c15:formulaRef>
                      </c:ext>
                    </c:extLst>
                    <c:numCache>
                      <c:formatCode>General</c:formatCode>
                      <c:ptCount val="1"/>
                      <c:pt idx="0">
                        <c:v>0</c:v>
                      </c:pt>
                    </c:numCache>
                  </c:numRef>
                </c:val>
                <c:extLst>
                  <c:ext xmlns:c16="http://schemas.microsoft.com/office/drawing/2014/chart" uri="{C3380CC4-5D6E-409C-BE32-E72D297353CC}">
                    <c16:uniqueId val="{00000000-583C-4E24-A404-2FCD5B8C55C7}"/>
                  </c:ext>
                </c:extLst>
              </c15:ser>
            </c15:filteredBarSeries>
          </c:ext>
        </c:extLst>
      </c:barChart>
      <c:lineChart>
        <c:grouping val="standard"/>
        <c:varyColors val="0"/>
        <c:ser>
          <c:idx val="19"/>
          <c:order val="19"/>
          <c:tx>
            <c:strRef>
              <c:f>'PS5.04_Ind01'!$B$35</c:f>
              <c:strCache>
                <c:ptCount val="1"/>
                <c:pt idx="0">
                  <c:v>Valor objectiu</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Lit>
              <c:ptCount val="4"/>
              <c:pt idx="0">
                <c:v>2018/2019</c:v>
              </c:pt>
              <c:pt idx="1">
                <c:v>2019/2020</c:v>
              </c:pt>
              <c:pt idx="2">
                <c:v>2020/2021</c:v>
              </c:pt>
              <c:pt idx="3">
                <c:v>2021/2022</c:v>
              </c:pt>
              <c:extLst>
                <c:ext xmlns:c15="http://schemas.microsoft.com/office/drawing/2012/chart" uri="{02D57815-91ED-43cb-92C2-25804820EDAC}">
                  <c15:autoCat val="1"/>
                </c:ext>
              </c:extLst>
            </c:strLit>
          </c:cat>
          <c:val>
            <c:numRef>
              <c:f>'PS5.04_Ind01'!$D$35:$I$35</c:f>
              <c:numCache>
                <c:formatCode>0.00%</c:formatCode>
                <c:ptCount val="6"/>
                <c:pt idx="0">
                  <c:v>0.4</c:v>
                </c:pt>
                <c:pt idx="1">
                  <c:v>0.4</c:v>
                </c:pt>
                <c:pt idx="2">
                  <c:v>0.4</c:v>
                </c:pt>
                <c:pt idx="3">
                  <c:v>0.4</c:v>
                </c:pt>
                <c:pt idx="4">
                  <c:v>0.4</c:v>
                </c:pt>
                <c:pt idx="5">
                  <c:v>0.4</c:v>
                </c:pt>
              </c:numCache>
            </c:numRef>
          </c:val>
          <c:smooth val="0"/>
          <c:extLst>
            <c:ext xmlns:c16="http://schemas.microsoft.com/office/drawing/2014/chart" uri="{C3380CC4-5D6E-409C-BE32-E72D297353CC}">
              <c16:uniqueId val="{00000013-583C-4E24-A404-2FCD5B8C55C7}"/>
            </c:ext>
          </c:extLst>
        </c:ser>
        <c:dLbls>
          <c:showLegendKey val="0"/>
          <c:showVal val="0"/>
          <c:showCatName val="0"/>
          <c:showSerName val="0"/>
          <c:showPercent val="0"/>
          <c:showBubbleSize val="0"/>
        </c:dLbls>
        <c:marker val="1"/>
        <c:smooth val="0"/>
        <c:axId val="2076062687"/>
        <c:axId val="747117135"/>
      </c:lineChart>
      <c:catAx>
        <c:axId val="207606268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747117135"/>
        <c:crosses val="autoZero"/>
        <c:auto val="1"/>
        <c:lblAlgn val="ctr"/>
        <c:lblOffset val="100"/>
        <c:noMultiLvlLbl val="0"/>
      </c:catAx>
      <c:valAx>
        <c:axId val="747117135"/>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760626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900"/>
              <a:t>PS5.04_iND02 pERCENTATGE DE PARTICIPACIÓ A LES ENQUESTES DE SATISFACCIÓ DE ÑES ASSIGNATURES.</a:t>
            </a:r>
          </a:p>
        </c:rich>
      </c:tx>
      <c:layout>
        <c:manualLayout>
          <c:xMode val="edge"/>
          <c:yMode val="edge"/>
          <c:x val="0.11518044619422572"/>
          <c:y val="0"/>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4.3439460349587962E-2"/>
          <c:y val="0.15168685927306616"/>
          <c:w val="0.94581266683357357"/>
          <c:h val="0.52389283119665964"/>
        </c:manualLayout>
      </c:layout>
      <c:barChart>
        <c:barDir val="col"/>
        <c:grouping val="clustered"/>
        <c:varyColors val="0"/>
        <c:ser>
          <c:idx val="1"/>
          <c:order val="1"/>
          <c:tx>
            <c:strRef>
              <c:f>'PS5.04_Ind02'!$B$16</c:f>
              <c:strCache>
                <c:ptCount val="1"/>
                <c:pt idx="0">
                  <c:v>Ciències Ambientals</c:v>
                </c:pt>
              </c:strCache>
              <c:extLst xmlns:c15="http://schemas.microsoft.com/office/drawing/2012/chart"/>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'PS5.04_Ind02'!$G$16:$J$16</c:f>
              <c:numCache>
                <c:formatCode>0.00%</c:formatCode>
                <c:ptCount val="4"/>
                <c:pt idx="0">
                  <c:v>0.1532</c:v>
                </c:pt>
                <c:pt idx="1">
                  <c:v>0.24164999999999998</c:v>
                </c:pt>
                <c:pt idx="2">
                  <c:v>0.36530000000000001</c:v>
                </c:pt>
                <c:pt idx="3">
                  <c:v>0.31440000000000001</c:v>
                </c:pt>
              </c:numCache>
            </c:numRef>
          </c:val>
          <c:extLst xmlns:c15="http://schemas.microsoft.com/office/drawing/2012/chart">
            <c:ext xmlns:c16="http://schemas.microsoft.com/office/drawing/2014/chart" uri="{C3380CC4-5D6E-409C-BE32-E72D297353CC}">
              <c16:uniqueId val="{00000001-488B-4453-A21A-40956624EFC6}"/>
            </c:ext>
          </c:extLst>
        </c:ser>
        <c:ser>
          <c:idx val="2"/>
          <c:order val="2"/>
          <c:tx>
            <c:strRef>
              <c:f>'PS5.04_Ind02'!$B$17</c:f>
              <c:strCache>
                <c:ptCount val="1"/>
                <c:pt idx="0">
                  <c:v>Ciències Ambientals i Geologia</c:v>
                </c:pt>
              </c:strCache>
              <c:extLst xmlns:c15="http://schemas.microsoft.com/office/drawing/2012/chart"/>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'PS5.04_Ind02'!$G$17:$J$17</c:f>
              <c:numCache>
                <c:formatCode>0.00%</c:formatCode>
                <c:ptCount val="4"/>
                <c:pt idx="0">
                  <c:v>0</c:v>
                </c:pt>
                <c:pt idx="1">
                  <c:v>0</c:v>
                </c:pt>
                <c:pt idx="2">
                  <c:v>0</c:v>
                </c:pt>
                <c:pt idx="3">
                  <c:v>0.36099999999999999</c:v>
                </c:pt>
              </c:numCache>
            </c:numRef>
          </c:val>
          <c:extLst xmlns:c15="http://schemas.microsoft.com/office/drawing/2012/chart">
            <c:ext xmlns:c16="http://schemas.microsoft.com/office/drawing/2014/chart" uri="{C3380CC4-5D6E-409C-BE32-E72D297353CC}">
              <c16:uniqueId val="{00000002-488B-4453-A21A-40956624EFC6}"/>
            </c:ext>
          </c:extLst>
        </c:ser>
        <c:ser>
          <c:idx val="3"/>
          <c:order val="3"/>
          <c:tx>
            <c:strRef>
              <c:f>'PS5.04_Ind02'!$B$18</c:f>
              <c:strCache>
                <c:ptCount val="1"/>
                <c:pt idx="0">
                  <c:v>Estadística Aplicada   </c:v>
                </c:pt>
              </c:strCache>
              <c:extLst xmlns:c15="http://schemas.microsoft.com/office/drawing/2012/chart"/>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'PS5.04_Ind02'!$G$18:$J$18</c:f>
              <c:numCache>
                <c:formatCode>0.00%</c:formatCode>
                <c:ptCount val="4"/>
                <c:pt idx="0">
                  <c:v>0.1094</c:v>
                </c:pt>
                <c:pt idx="1">
                  <c:v>0.1658</c:v>
                </c:pt>
                <c:pt idx="2">
                  <c:v>0.29925000000000002</c:v>
                </c:pt>
                <c:pt idx="3">
                  <c:v>0.1928</c:v>
                </c:pt>
              </c:numCache>
            </c:numRef>
          </c:val>
          <c:extLst xmlns:c15="http://schemas.microsoft.com/office/drawing/2012/chart">
            <c:ext xmlns:c16="http://schemas.microsoft.com/office/drawing/2014/chart" uri="{C3380CC4-5D6E-409C-BE32-E72D297353CC}">
              <c16:uniqueId val="{00000003-488B-4453-A21A-40956624EFC6}"/>
            </c:ext>
          </c:extLst>
        </c:ser>
        <c:ser>
          <c:idx val="4"/>
          <c:order val="4"/>
          <c:tx>
            <c:strRef>
              <c:f>'PS5.04_Ind02'!$B$19</c:f>
              <c:strCache>
                <c:ptCount val="1"/>
                <c:pt idx="0">
                  <c:v>Física</c:v>
                </c:pt>
              </c:strCache>
              <c:extLst xmlns:c15="http://schemas.microsoft.com/office/drawing/2012/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'PS5.04_Ind02'!$G$19:$J$19</c:f>
              <c:numCache>
                <c:formatCode>0.00%</c:formatCode>
                <c:ptCount val="4"/>
                <c:pt idx="0">
                  <c:v>0.29139999999999999</c:v>
                </c:pt>
                <c:pt idx="1">
                  <c:v>0.32379999999999998</c:v>
                </c:pt>
                <c:pt idx="2">
                  <c:v>0.438</c:v>
                </c:pt>
                <c:pt idx="3">
                  <c:v>0.4158</c:v>
                </c:pt>
              </c:numCache>
            </c:numRef>
          </c:val>
          <c:extLst xmlns:c15="http://schemas.microsoft.com/office/drawing/2012/chart">
            <c:ext xmlns:c16="http://schemas.microsoft.com/office/drawing/2014/chart" uri="{C3380CC4-5D6E-409C-BE32-E72D297353CC}">
              <c16:uniqueId val="{00000004-488B-4453-A21A-40956624EFC6}"/>
            </c:ext>
          </c:extLst>
        </c:ser>
        <c:ser>
          <c:idx val="5"/>
          <c:order val="5"/>
          <c:tx>
            <c:strRef>
              <c:f>'PS5.04_Ind02'!$B$20</c:f>
              <c:strCache>
                <c:ptCount val="1"/>
                <c:pt idx="0">
                  <c:v>Física i Matemàtiques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'PS5.04_Ind02'!$G$20:$J$20</c:f>
              <c:numCache>
                <c:formatCode>0.00%</c:formatCode>
                <c:ptCount val="4"/>
                <c:pt idx="0">
                  <c:v>0.34875</c:v>
                </c:pt>
                <c:pt idx="1">
                  <c:v>0.52010000000000001</c:v>
                </c:pt>
                <c:pt idx="2">
                  <c:v>0.51749999999999996</c:v>
                </c:pt>
                <c:pt idx="3">
                  <c:v>0.51190000000000002</c:v>
                </c:pt>
              </c:numCache>
            </c:numRef>
          </c:val>
          <c:extLst xmlns:c15="http://schemas.microsoft.com/office/drawing/2012/chart">
            <c:ext xmlns:c16="http://schemas.microsoft.com/office/drawing/2014/chart" uri="{C3380CC4-5D6E-409C-BE32-E72D297353CC}">
              <c16:uniqueId val="{00000005-488B-4453-A21A-40956624EFC6}"/>
            </c:ext>
          </c:extLst>
        </c:ser>
        <c:ser>
          <c:idx val="6"/>
          <c:order val="6"/>
          <c:tx>
            <c:strRef>
              <c:f>'PS5.04_Ind02'!$B$21</c:f>
              <c:strCache>
                <c:ptCount val="1"/>
                <c:pt idx="0">
                  <c:v>Física i Química</c:v>
                </c:pt>
              </c:strCache>
              <c:extLst xmlns:c15="http://schemas.microsoft.com/office/drawing/2012/chart"/>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'PS5.04_Ind02'!$G$21:$J$21</c:f>
              <c:numCache>
                <c:formatCode>0.00%</c:formatCode>
                <c:ptCount val="4"/>
                <c:pt idx="0">
                  <c:v>0.4239</c:v>
                </c:pt>
                <c:pt idx="1">
                  <c:v>0.44244999999999995</c:v>
                </c:pt>
                <c:pt idx="2">
                  <c:v>0.55189999999999995</c:v>
                </c:pt>
                <c:pt idx="3">
                  <c:v>0.45800000000000002</c:v>
                </c:pt>
              </c:numCache>
            </c:numRef>
          </c:val>
          <c:extLst xmlns:c15="http://schemas.microsoft.com/office/drawing/2012/chart">
            <c:ext xmlns:c16="http://schemas.microsoft.com/office/drawing/2014/chart" uri="{C3380CC4-5D6E-409C-BE32-E72D297353CC}">
              <c16:uniqueId val="{00000006-488B-4453-A21A-40956624EFC6}"/>
            </c:ext>
          </c:extLst>
        </c:ser>
        <c:ser>
          <c:idx val="7"/>
          <c:order val="7"/>
          <c:tx>
            <c:strRef>
              <c:f>'PS5.04_Ind02'!$B$22</c:f>
              <c:strCache>
                <c:ptCount val="1"/>
                <c:pt idx="0">
                  <c:v>Geologia</c:v>
                </c:pt>
              </c:strCache>
              <c:extLst xmlns:c15="http://schemas.microsoft.com/office/drawing/2012/chart"/>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'PS5.04_Ind02'!$G$22:$J$22</c:f>
              <c:numCache>
                <c:formatCode>0.00%</c:formatCode>
                <c:ptCount val="4"/>
                <c:pt idx="0">
                  <c:v>0.17094999999999999</c:v>
                </c:pt>
                <c:pt idx="1">
                  <c:v>0.29385</c:v>
                </c:pt>
                <c:pt idx="2">
                  <c:v>0.27894999999999998</c:v>
                </c:pt>
                <c:pt idx="3">
                  <c:v>0.2616</c:v>
                </c:pt>
              </c:numCache>
            </c:numRef>
          </c:val>
          <c:extLst xmlns:c15="http://schemas.microsoft.com/office/drawing/2012/chart">
            <c:ext xmlns:c16="http://schemas.microsoft.com/office/drawing/2014/chart" uri="{C3380CC4-5D6E-409C-BE32-E72D297353CC}">
              <c16:uniqueId val="{00000007-488B-4453-A21A-40956624EFC6}"/>
            </c:ext>
          </c:extLst>
        </c:ser>
        <c:ser>
          <c:idx val="8"/>
          <c:order val="8"/>
          <c:tx>
            <c:strRef>
              <c:f>'PS5.04_Ind02'!$B$23</c:f>
              <c:strCache>
                <c:ptCount val="1"/>
                <c:pt idx="0">
                  <c:v>Matemàtica Computacional i Analítica de Dades</c:v>
                </c:pt>
              </c:strCache>
              <c:extLst xmlns:c15="http://schemas.microsoft.com/office/drawing/2012/chart"/>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'PS5.04_Ind02'!$G$23:$J$23</c:f>
              <c:numCache>
                <c:formatCode>0.00%</c:formatCode>
                <c:ptCount val="4"/>
                <c:pt idx="0">
                  <c:v>0.4763</c:v>
                </c:pt>
                <c:pt idx="1">
                  <c:v>0.42659999999999998</c:v>
                </c:pt>
                <c:pt idx="2">
                  <c:v>0.43109999999999998</c:v>
                </c:pt>
                <c:pt idx="3">
                  <c:v>0.37180000000000002</c:v>
                </c:pt>
              </c:numCache>
            </c:numRef>
          </c:val>
          <c:extLst xmlns:c15="http://schemas.microsoft.com/office/drawing/2012/chart">
            <c:ext xmlns:c16="http://schemas.microsoft.com/office/drawing/2014/chart" uri="{C3380CC4-5D6E-409C-BE32-E72D297353CC}">
              <c16:uniqueId val="{00000008-488B-4453-A21A-40956624EFC6}"/>
            </c:ext>
          </c:extLst>
        </c:ser>
        <c:ser>
          <c:idx val="9"/>
          <c:order val="9"/>
          <c:tx>
            <c:strRef>
              <c:f>'PS5.04_Ind02'!$B$24</c:f>
              <c:strCache>
                <c:ptCount val="1"/>
                <c:pt idx="0">
                  <c:v>Matemàtiques</c:v>
                </c:pt>
              </c:strCache>
              <c:extLst xmlns:c15="http://schemas.microsoft.com/office/drawing/2012/chart"/>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'PS5.04_Ind02'!$G$24:$J$24</c:f>
              <c:numCache>
                <c:formatCode>0.00%</c:formatCode>
                <c:ptCount val="4"/>
                <c:pt idx="0">
                  <c:v>0.29514999999999997</c:v>
                </c:pt>
                <c:pt idx="1">
                  <c:v>0.39680000000000004</c:v>
                </c:pt>
                <c:pt idx="2">
                  <c:v>0.34470000000000001</c:v>
                </c:pt>
                <c:pt idx="3">
                  <c:v>0.38619999999999999</c:v>
                </c:pt>
              </c:numCache>
            </c:numRef>
          </c:val>
          <c:extLst xmlns:c15="http://schemas.microsoft.com/office/drawing/2012/chart">
            <c:ext xmlns:c16="http://schemas.microsoft.com/office/drawing/2014/chart" uri="{C3380CC4-5D6E-409C-BE32-E72D297353CC}">
              <c16:uniqueId val="{00000009-488B-4453-A21A-40956624EFC6}"/>
            </c:ext>
          </c:extLst>
        </c:ser>
        <c:ser>
          <c:idx val="10"/>
          <c:order val="10"/>
          <c:tx>
            <c:strRef>
              <c:f>'PS5.04_Ind02'!$B$25</c:f>
              <c:strCache>
                <c:ptCount val="1"/>
                <c:pt idx="0">
                  <c:v>Nanociència i Nanotecnologia</c:v>
                </c:pt>
              </c:strCache>
              <c:extLst xmlns:c15="http://schemas.microsoft.com/office/drawing/2012/chart"/>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'PS5.04_Ind02'!$G$25:$J$25</c:f>
              <c:numCache>
                <c:formatCode>0.00%</c:formatCode>
                <c:ptCount val="4"/>
                <c:pt idx="0">
                  <c:v>0.2034</c:v>
                </c:pt>
                <c:pt idx="1">
                  <c:v>0.16439999999999999</c:v>
                </c:pt>
                <c:pt idx="2">
                  <c:v>0.27515000000000001</c:v>
                </c:pt>
                <c:pt idx="3">
                  <c:v>0.32190000000000002</c:v>
                </c:pt>
              </c:numCache>
            </c:numRef>
          </c:val>
          <c:extLst xmlns:c15="http://schemas.microsoft.com/office/drawing/2012/chart">
            <c:ext xmlns:c16="http://schemas.microsoft.com/office/drawing/2014/chart" uri="{C3380CC4-5D6E-409C-BE32-E72D297353CC}">
              <c16:uniqueId val="{0000000A-488B-4453-A21A-40956624EFC6}"/>
            </c:ext>
          </c:extLst>
        </c:ser>
        <c:ser>
          <c:idx val="11"/>
          <c:order val="11"/>
          <c:tx>
            <c:strRef>
              <c:f>'PS5.04_Ind02'!$B$26</c:f>
              <c:strCache>
                <c:ptCount val="1"/>
                <c:pt idx="0">
                  <c:v>Química</c:v>
                </c:pt>
              </c:strCache>
              <c:extLst xmlns:c15="http://schemas.microsoft.com/office/drawing/2012/chart"/>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'PS5.04_Ind02'!$G$26:$J$26</c:f>
              <c:numCache>
                <c:formatCode>0.00%</c:formatCode>
                <c:ptCount val="4"/>
                <c:pt idx="0">
                  <c:v>0.17494999999999999</c:v>
                </c:pt>
                <c:pt idx="1">
                  <c:v>0.18764999999999998</c:v>
                </c:pt>
                <c:pt idx="2">
                  <c:v>0.24049999999999999</c:v>
                </c:pt>
                <c:pt idx="3">
                  <c:v>0.25069999999999998</c:v>
                </c:pt>
              </c:numCache>
            </c:numRef>
          </c:val>
          <c:extLst xmlns:c15="http://schemas.microsoft.com/office/drawing/2012/chart">
            <c:ext xmlns:c16="http://schemas.microsoft.com/office/drawing/2014/chart" uri="{C3380CC4-5D6E-409C-BE32-E72D297353CC}">
              <c16:uniqueId val="{0000000B-488B-4453-A21A-40956624EFC6}"/>
            </c:ext>
          </c:extLst>
        </c:ser>
        <c:ser>
          <c:idx val="12"/>
          <c:order val="12"/>
          <c:tx>
            <c:strRef>
              <c:f>'PS5.04_Ind02'!$B$27</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'PS5.04_Ind02'!$G$27:$J$27</c:f>
              <c:numCache>
                <c:formatCode>0.00%</c:formatCode>
                <c:ptCount val="4"/>
                <c:pt idx="0">
                  <c:v>0</c:v>
                </c:pt>
                <c:pt idx="1">
                  <c:v>7.2950000000000001E-2</c:v>
                </c:pt>
                <c:pt idx="2">
                  <c:v>0.1719</c:v>
                </c:pt>
                <c:pt idx="3">
                  <c:v>0.35749999999999998</c:v>
                </c:pt>
              </c:numCache>
            </c:numRef>
          </c:val>
          <c:extLst>
            <c:ext xmlns:c16="http://schemas.microsoft.com/office/drawing/2014/chart" uri="{C3380CC4-5D6E-409C-BE32-E72D297353CC}">
              <c16:uniqueId val="{0000000C-488B-4453-A21A-40956624EFC6}"/>
            </c:ext>
          </c:extLst>
        </c:ser>
        <c:ser>
          <c:idx val="13"/>
          <c:order val="13"/>
          <c:tx>
            <c:strRef>
              <c:f>'PS5.04_Ind02'!$B$28</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'PS5.04_Ind02'!$G$28:$J$28</c:f>
              <c:numCache>
                <c:formatCode>0.00%</c:formatCode>
                <c:ptCount val="4"/>
                <c:pt idx="0">
                  <c:v>0.25419999999999998</c:v>
                </c:pt>
                <c:pt idx="1">
                  <c:v>9.2500000000000013E-2</c:v>
                </c:pt>
                <c:pt idx="2">
                  <c:v>7.5999999999999998E-2</c:v>
                </c:pt>
                <c:pt idx="3">
                  <c:v>0.29330000000000001</c:v>
                </c:pt>
              </c:numCache>
            </c:numRef>
          </c:val>
          <c:extLst>
            <c:ext xmlns:c16="http://schemas.microsoft.com/office/drawing/2014/chart" uri="{C3380CC4-5D6E-409C-BE32-E72D297353CC}">
              <c16:uniqueId val="{0000000D-488B-4453-A21A-40956624EFC6}"/>
            </c:ext>
          </c:extLst>
        </c:ser>
        <c:ser>
          <c:idx val="14"/>
          <c:order val="14"/>
          <c:tx>
            <c:strRef>
              <c:f>'PS5.04_Ind02'!$B$29</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'PS5.04_Ind02'!$G$29:$J$29</c:f>
              <c:numCache>
                <c:formatCode>0.00%</c:formatCode>
                <c:ptCount val="4"/>
                <c:pt idx="0">
                  <c:v>0.74534999999999996</c:v>
                </c:pt>
                <c:pt idx="1">
                  <c:v>0.22320000000000001</c:v>
                </c:pt>
                <c:pt idx="2">
                  <c:v>0.38740000000000002</c:v>
                </c:pt>
                <c:pt idx="3">
                  <c:v>0.28789999999999999</c:v>
                </c:pt>
              </c:numCache>
            </c:numRef>
          </c:val>
          <c:extLst>
            <c:ext xmlns:c16="http://schemas.microsoft.com/office/drawing/2014/chart" uri="{C3380CC4-5D6E-409C-BE32-E72D297353CC}">
              <c16:uniqueId val="{0000000E-488B-4453-A21A-40956624EFC6}"/>
            </c:ext>
          </c:extLst>
        </c:ser>
        <c:ser>
          <c:idx val="15"/>
          <c:order val="15"/>
          <c:tx>
            <c:strRef>
              <c:f>'PS5.04_Ind02'!$B$30</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'PS5.04_Ind02'!$G$30:$J$30</c:f>
              <c:numCache>
                <c:formatCode>0.00%</c:formatCode>
                <c:ptCount val="4"/>
                <c:pt idx="0">
                  <c:v>0.15609999999999999</c:v>
                </c:pt>
                <c:pt idx="1">
                  <c:v>0.10580000000000001</c:v>
                </c:pt>
                <c:pt idx="2">
                  <c:v>5.645E-2</c:v>
                </c:pt>
                <c:pt idx="3">
                  <c:v>7.5499999999999998E-2</c:v>
                </c:pt>
              </c:numCache>
            </c:numRef>
          </c:val>
          <c:extLst>
            <c:ext xmlns:c16="http://schemas.microsoft.com/office/drawing/2014/chart" uri="{C3380CC4-5D6E-409C-BE32-E72D297353CC}">
              <c16:uniqueId val="{0000000F-488B-4453-A21A-40956624EFC6}"/>
            </c:ext>
          </c:extLst>
        </c:ser>
        <c:ser>
          <c:idx val="16"/>
          <c:order val="16"/>
          <c:tx>
            <c:strRef>
              <c:f>'PS5.04_Ind02'!$B$31</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'PS5.04_Ind02'!$G$31:$J$31</c:f>
              <c:numCache>
                <c:formatCode>0.00%</c:formatCode>
                <c:ptCount val="4"/>
                <c:pt idx="0" formatCode="General">
                  <c:v>0</c:v>
                </c:pt>
                <c:pt idx="1">
                  <c:v>0.26649999999999996</c:v>
                </c:pt>
                <c:pt idx="2">
                  <c:v>0.43940000000000001</c:v>
                </c:pt>
                <c:pt idx="3">
                  <c:v>0.31140000000000001</c:v>
                </c:pt>
              </c:numCache>
            </c:numRef>
          </c:val>
          <c:extLst>
            <c:ext xmlns:c16="http://schemas.microsoft.com/office/drawing/2014/chart" uri="{C3380CC4-5D6E-409C-BE32-E72D297353CC}">
              <c16:uniqueId val="{00000010-488B-4453-A21A-40956624EFC6}"/>
            </c:ext>
          </c:extLst>
        </c:ser>
        <c:ser>
          <c:idx val="17"/>
          <c:order val="17"/>
          <c:tx>
            <c:strRef>
              <c:f>'PS5.04_Ind02'!$B$32</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'PS5.04_Ind02'!$G$32:$J$32</c:f>
              <c:numCache>
                <c:formatCode>0.00%</c:formatCode>
                <c:ptCount val="4"/>
                <c:pt idx="0" formatCode="General">
                  <c:v>0</c:v>
                </c:pt>
                <c:pt idx="1">
                  <c:v>0</c:v>
                </c:pt>
                <c:pt idx="2">
                  <c:v>0.20830000000000001</c:v>
                </c:pt>
                <c:pt idx="3">
                  <c:v>0.2223</c:v>
                </c:pt>
              </c:numCache>
            </c:numRef>
          </c:val>
          <c:extLst>
            <c:ext xmlns:c16="http://schemas.microsoft.com/office/drawing/2014/chart" uri="{C3380CC4-5D6E-409C-BE32-E72D297353CC}">
              <c16:uniqueId val="{00000011-488B-4453-A21A-40956624EFC6}"/>
            </c:ext>
          </c:extLst>
        </c:ser>
        <c:ser>
          <c:idx val="18"/>
          <c:order val="18"/>
          <c:tx>
            <c:strRef>
              <c:f>'PS5.04_Ind02'!$B$33</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'PS5.04_Ind02'!$G$33:$J$33</c:f>
              <c:numCache>
                <c:formatCode>0.00%</c:formatCode>
                <c:ptCount val="4"/>
                <c:pt idx="0">
                  <c:v>2.3400000000000001E-2</c:v>
                </c:pt>
                <c:pt idx="1">
                  <c:v>4.9599999999999998E-2</c:v>
                </c:pt>
                <c:pt idx="2">
                  <c:v>0</c:v>
                </c:pt>
                <c:pt idx="3">
                  <c:v>0.1166</c:v>
                </c:pt>
              </c:numCache>
            </c:numRef>
          </c:val>
          <c:extLst>
            <c:ext xmlns:c16="http://schemas.microsoft.com/office/drawing/2014/chart" uri="{C3380CC4-5D6E-409C-BE32-E72D297353CC}">
              <c16:uniqueId val="{00000012-488B-4453-A21A-40956624EFC6}"/>
            </c:ext>
          </c:extLst>
        </c:ser>
        <c:dLbls>
          <c:showLegendKey val="0"/>
          <c:showVal val="0"/>
          <c:showCatName val="0"/>
          <c:showSerName val="0"/>
          <c:showPercent val="0"/>
          <c:showBubbleSize val="0"/>
        </c:dLbls>
        <c:gapWidth val="100"/>
        <c:axId val="1227054607"/>
        <c:axId val="1227066671"/>
        <c:extLst>
          <c:ext xmlns:c15="http://schemas.microsoft.com/office/drawing/2012/chart" uri="{02D57815-91ED-43cb-92C2-25804820EDAC}">
            <c15:filteredBarSeries>
              <c15: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uri="{02D57815-91ED-43cb-92C2-25804820EDAC}">
                        <c15:formulaRef>
                          <c15:sqref>'PS5.04_Ind02'!$G$15:$J$15</c15:sqref>
                        </c15:formulaRef>
                      </c:ext>
                    </c:extLst>
                    <c:strCache>
                      <c:ptCount val="4"/>
                      <c:pt idx="0">
                        <c:v>2020/2021</c:v>
                      </c:pt>
                      <c:pt idx="1">
                        <c:v>2021/2022</c:v>
                      </c:pt>
                      <c:pt idx="2">
                        <c:v>2022/2023</c:v>
                      </c:pt>
                      <c:pt idx="3">
                        <c:v>2023/2024</c:v>
                      </c:pt>
                    </c:strCache>
                  </c:strRef>
                </c:cat>
                <c:val>
                  <c:numRef>
                    <c:extLst>
                      <c:ext uri="{02D57815-91ED-43cb-92C2-25804820EDAC}">
                        <c15:formulaRef>
                          <c15:sqref>'PS5.04_Ind02'!$D$4</c15:sqref>
                        </c15:formulaRef>
                      </c:ext>
                    </c:extLst>
                    <c:numCache>
                      <c:formatCode>General</c:formatCode>
                      <c:ptCount val="1"/>
                      <c:pt idx="0">
                        <c:v>0</c:v>
                      </c:pt>
                    </c:numCache>
                  </c:numRef>
                </c:val>
                <c:extLst>
                  <c:ext xmlns:c16="http://schemas.microsoft.com/office/drawing/2014/chart" uri="{C3380CC4-5D6E-409C-BE32-E72D297353CC}">
                    <c16:uniqueId val="{00000000-488B-4453-A21A-40956624EFC6}"/>
                  </c:ext>
                </c:extLst>
              </c15:ser>
            </c15:filteredBarSeries>
          </c:ext>
        </c:extLst>
      </c:barChart>
      <c:lineChart>
        <c:grouping val="standard"/>
        <c:varyColors val="0"/>
        <c:ser>
          <c:idx val="19"/>
          <c:order val="19"/>
          <c:tx>
            <c:strRef>
              <c:f>'PS5.04_Ind02'!$B$36</c:f>
              <c:strCache>
                <c:ptCount val="1"/>
                <c:pt idx="0">
                  <c:v>Valor objectiu</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Ref>
              <c:f>'PS5.04_Ind02'!$G$15:$J$15</c:f>
              <c:strCache>
                <c:ptCount val="4"/>
                <c:pt idx="0">
                  <c:v>2020/2021</c:v>
                </c:pt>
                <c:pt idx="1">
                  <c:v>2021/2022</c:v>
                </c:pt>
                <c:pt idx="2">
                  <c:v>2022/2023</c:v>
                </c:pt>
                <c:pt idx="3">
                  <c:v>2023/2024</c:v>
                </c:pt>
              </c:strCache>
            </c:strRef>
          </c:cat>
          <c:val>
            <c:numRef>
              <c:f>'PS5.04_Ind02'!$G$36:$J$36</c:f>
              <c:numCache>
                <c:formatCode>0.00%</c:formatCode>
                <c:ptCount val="4"/>
                <c:pt idx="0">
                  <c:v>0.4</c:v>
                </c:pt>
                <c:pt idx="1">
                  <c:v>0.4</c:v>
                </c:pt>
                <c:pt idx="2">
                  <c:v>0.4</c:v>
                </c:pt>
                <c:pt idx="3">
                  <c:v>0.4</c:v>
                </c:pt>
              </c:numCache>
            </c:numRef>
          </c:val>
          <c:smooth val="0"/>
          <c:extLst>
            <c:ext xmlns:c16="http://schemas.microsoft.com/office/drawing/2014/chart" uri="{C3380CC4-5D6E-409C-BE32-E72D297353CC}">
              <c16:uniqueId val="{00000013-488B-4453-A21A-40956624EFC6}"/>
            </c:ext>
          </c:extLst>
        </c:ser>
        <c:dLbls>
          <c:showLegendKey val="0"/>
          <c:showVal val="0"/>
          <c:showCatName val="0"/>
          <c:showSerName val="0"/>
          <c:showPercent val="0"/>
          <c:showBubbleSize val="0"/>
        </c:dLbls>
        <c:marker val="1"/>
        <c:smooth val="0"/>
        <c:axId val="1227054607"/>
        <c:axId val="1227066671"/>
      </c:lineChart>
      <c:catAx>
        <c:axId val="122705460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27066671"/>
        <c:crosses val="autoZero"/>
        <c:auto val="1"/>
        <c:lblAlgn val="ctr"/>
        <c:lblOffset val="100"/>
        <c:noMultiLvlLbl val="0"/>
      </c:catAx>
      <c:valAx>
        <c:axId val="1227066671"/>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27054607"/>
        <c:crosses val="autoZero"/>
        <c:crossBetween val="between"/>
      </c:valAx>
      <c:spPr>
        <a:noFill/>
        <a:ln>
          <a:noFill/>
        </a:ln>
        <a:effectLst/>
      </c:spPr>
    </c:plotArea>
    <c:legend>
      <c:legendPos val="b"/>
      <c:layout>
        <c:manualLayout>
          <c:xMode val="edge"/>
          <c:yMode val="edge"/>
          <c:x val="5.2054261242423065E-2"/>
          <c:y val="0.73142312010625887"/>
          <c:w val="0.92813495491746933"/>
          <c:h val="0.249937550909584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PS5.04_Ind03. Valoració mitjana de l’afirmació “Estic satisfet/a amb la titulació” a les enquestes de satisfacció de la UAB.</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'PS5.04_Ind03'!$B$38</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'PS5.04_Ind03'!$C$38:$E$38</c:f>
              <c:numCache>
                <c:formatCode>General</c:formatCode>
                <c:ptCount val="3"/>
              </c:numCache>
            </c:numRef>
          </c:val>
          <c:extLst>
            <c:ext xmlns:c16="http://schemas.microsoft.com/office/drawing/2014/chart" uri="{C3380CC4-5D6E-409C-BE32-E72D297353CC}">
              <c16:uniqueId val="{00000000-0D4E-429E-9100-D5691AEFC1B4}"/>
            </c:ext>
          </c:extLst>
        </c:ser>
        <c:ser>
          <c:idx val="1"/>
          <c:order val="1"/>
          <c:tx>
            <c:strRef>
              <c:f>'PS5.04_Ind03'!$B$15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'PS5.04_Ind03'!$F$15:$I$15</c:f>
              <c:numCache>
                <c:formatCode>General</c:formatCode>
                <c:ptCount val="4"/>
                <c:pt idx="0">
                  <c:v>3.75</c:v>
                </c:pt>
                <c:pt idx="1">
                  <c:v>4.2</c:v>
                </c:pt>
                <c:pt idx="2">
                  <c:v>3.69</c:v>
                </c:pt>
                <c:pt idx="3">
                  <c:v>3.69</c:v>
                </c:pt>
              </c:numCache>
            </c:numRef>
          </c:val>
          <c:extLst>
            <c:ext xmlns:c16="http://schemas.microsoft.com/office/drawing/2014/chart" uri="{C3380CC4-5D6E-409C-BE32-E72D297353CC}">
              <c16:uniqueId val="{00000001-0D4E-429E-9100-D5691AEFC1B4}"/>
            </c:ext>
          </c:extLst>
        </c:ser>
        <c:ser>
          <c:idx val="2"/>
          <c:order val="2"/>
          <c:tx>
            <c:strRef>
              <c:f>'PS5.04_Ind03'!$B$16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'PS5.04_Ind03'!$F$16:$I$16</c:f>
              <c:numCache>
                <c:formatCode>General</c:formatCode>
                <c:ptCount val="4"/>
                <c:pt idx="0">
                  <c:v>3.8</c:v>
                </c:pt>
                <c:pt idx="1">
                  <c:v>3</c:v>
                </c:pt>
                <c:pt idx="2">
                  <c:v>4</c:v>
                </c:pt>
                <c:pt idx="3">
                  <c:v>3.29</c:v>
                </c:pt>
              </c:numCache>
            </c:numRef>
          </c:val>
          <c:extLst>
            <c:ext xmlns:c16="http://schemas.microsoft.com/office/drawing/2014/chart" uri="{C3380CC4-5D6E-409C-BE32-E72D297353CC}">
              <c16:uniqueId val="{00000002-0D4E-429E-9100-D5691AEFC1B4}"/>
            </c:ext>
          </c:extLst>
        </c:ser>
        <c:ser>
          <c:idx val="3"/>
          <c:order val="3"/>
          <c:tx>
            <c:strRef>
              <c:f>'PS5.04_Ind03'!$B$17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'PS5.04_Ind03'!$F$17:$I$17</c:f>
              <c:numCache>
                <c:formatCode>General</c:formatCode>
                <c:ptCount val="4"/>
                <c:pt idx="0">
                  <c:v>4.4000000000000004</c:v>
                </c:pt>
                <c:pt idx="1">
                  <c:v>3.5</c:v>
                </c:pt>
                <c:pt idx="2">
                  <c:v>4.33</c:v>
                </c:pt>
                <c:pt idx="3">
                  <c:v>3.89</c:v>
                </c:pt>
              </c:numCache>
            </c:numRef>
          </c:val>
          <c:extLst>
            <c:ext xmlns:c16="http://schemas.microsoft.com/office/drawing/2014/chart" uri="{C3380CC4-5D6E-409C-BE32-E72D297353CC}">
              <c16:uniqueId val="{00000003-0D4E-429E-9100-D5691AEFC1B4}"/>
            </c:ext>
          </c:extLst>
        </c:ser>
        <c:ser>
          <c:idx val="4"/>
          <c:order val="4"/>
          <c:tx>
            <c:strRef>
              <c:f>'PS5.04_Ind03'!$B$18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'PS5.04_Ind03'!$F$18:$I$18</c:f>
              <c:numCache>
                <c:formatCode>General</c:formatCode>
                <c:ptCount val="4"/>
                <c:pt idx="0">
                  <c:v>3.77</c:v>
                </c:pt>
                <c:pt idx="1">
                  <c:v>3.33</c:v>
                </c:pt>
                <c:pt idx="2">
                  <c:v>4.05</c:v>
                </c:pt>
                <c:pt idx="3">
                  <c:v>3.73</c:v>
                </c:pt>
              </c:numCache>
            </c:numRef>
          </c:val>
          <c:extLst>
            <c:ext xmlns:c16="http://schemas.microsoft.com/office/drawing/2014/chart" uri="{C3380CC4-5D6E-409C-BE32-E72D297353CC}">
              <c16:uniqueId val="{00000004-0D4E-429E-9100-D5691AEFC1B4}"/>
            </c:ext>
          </c:extLst>
        </c:ser>
        <c:ser>
          <c:idx val="5"/>
          <c:order val="5"/>
          <c:tx>
            <c:strRef>
              <c:f>'PS5.04_Ind03'!$B$19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'PS5.04_Ind03'!$F$19:$I$19</c:f>
              <c:numCache>
                <c:formatCode>General</c:formatCode>
                <c:ptCount val="4"/>
                <c:pt idx="0">
                  <c:v>0</c:v>
                </c:pt>
                <c:pt idx="1">
                  <c:v>4</c:v>
                </c:pt>
                <c:pt idx="2">
                  <c:v>4</c:v>
                </c:pt>
                <c:pt idx="3">
                  <c:v>4.57</c:v>
                </c:pt>
              </c:numCache>
            </c:numRef>
          </c:val>
          <c:extLst>
            <c:ext xmlns:c16="http://schemas.microsoft.com/office/drawing/2014/chart" uri="{C3380CC4-5D6E-409C-BE32-E72D297353CC}">
              <c16:uniqueId val="{00000005-0D4E-429E-9100-D5691AEFC1B4}"/>
            </c:ext>
          </c:extLst>
        </c:ser>
        <c:ser>
          <c:idx val="6"/>
          <c:order val="6"/>
          <c:tx>
            <c:strRef>
              <c:f>'PS5.04_Ind03'!$B$20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'PS5.04_Ind03'!$F$20:$I$20</c:f>
              <c:numCache>
                <c:formatCode>General</c:formatCode>
                <c:ptCount val="4"/>
                <c:pt idx="0">
                  <c:v>0</c:v>
                </c:pt>
                <c:pt idx="1">
                  <c:v>3.75</c:v>
                </c:pt>
                <c:pt idx="2">
                  <c:v>4.25</c:v>
                </c:pt>
                <c:pt idx="3">
                  <c:v>3.83</c:v>
                </c:pt>
              </c:numCache>
            </c:numRef>
          </c:val>
          <c:extLst>
            <c:ext xmlns:c16="http://schemas.microsoft.com/office/drawing/2014/chart" uri="{C3380CC4-5D6E-409C-BE32-E72D297353CC}">
              <c16:uniqueId val="{00000006-0D4E-429E-9100-D5691AEFC1B4}"/>
            </c:ext>
          </c:extLst>
        </c:ser>
        <c:ser>
          <c:idx val="7"/>
          <c:order val="7"/>
          <c:tx>
            <c:strRef>
              <c:f>'PS5.04_Ind03'!$B$21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'PS5.04_Ind03'!$F$21:$I$21</c:f>
              <c:numCache>
                <c:formatCode>General</c:formatCode>
                <c:ptCount val="4"/>
                <c:pt idx="0">
                  <c:v>0</c:v>
                </c:pt>
                <c:pt idx="1">
                  <c:v>0</c:v>
                </c:pt>
                <c:pt idx="2">
                  <c:v>4.1399999999999997</c:v>
                </c:pt>
                <c:pt idx="3">
                  <c:v>0</c:v>
                </c:pt>
              </c:numCache>
            </c:numRef>
          </c:val>
          <c:extLst>
            <c:ext xmlns:c16="http://schemas.microsoft.com/office/drawing/2014/chart" uri="{C3380CC4-5D6E-409C-BE32-E72D297353CC}">
              <c16:uniqueId val="{00000007-0D4E-429E-9100-D5691AEFC1B4}"/>
            </c:ext>
          </c:extLst>
        </c:ser>
        <c:ser>
          <c:idx val="8"/>
          <c:order val="8"/>
          <c:tx>
            <c:strRef>
              <c:f>'PS5.04_Ind03'!$B$23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'PS5.04_Ind03'!$F$23:$I$23</c:f>
              <c:numCache>
                <c:formatCode>General</c:formatCode>
                <c:ptCount val="4"/>
                <c:pt idx="0">
                  <c:v>3.64</c:v>
                </c:pt>
                <c:pt idx="1">
                  <c:v>3.2</c:v>
                </c:pt>
                <c:pt idx="2">
                  <c:v>4.3</c:v>
                </c:pt>
                <c:pt idx="3">
                  <c:v>4.43</c:v>
                </c:pt>
              </c:numCache>
            </c:numRef>
          </c:val>
          <c:extLst>
            <c:ext xmlns:c16="http://schemas.microsoft.com/office/drawing/2014/chart" uri="{C3380CC4-5D6E-409C-BE32-E72D297353CC}">
              <c16:uniqueId val="{00000008-0D4E-429E-9100-D5691AEFC1B4}"/>
            </c:ext>
          </c:extLst>
        </c:ser>
        <c:ser>
          <c:idx val="9"/>
          <c:order val="9"/>
          <c:tx>
            <c:strRef>
              <c:f>'PS5.04_Ind03'!$B$22</c:f>
              <c:strCache>
                <c:ptCount val="1"/>
                <c:pt idx="0">
                  <c:v>Matemàtica Computacional i Analítica de Dades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'PS5.04_Ind03'!$F$22:$I$22</c:f>
              <c:numCache>
                <c:formatCode>General</c:formatCode>
                <c:ptCount val="4"/>
                <c:pt idx="0">
                  <c:v>0</c:v>
                </c:pt>
                <c:pt idx="1">
                  <c:v>0</c:v>
                </c:pt>
                <c:pt idx="2">
                  <c:v>4.8600000000000003</c:v>
                </c:pt>
                <c:pt idx="3">
                  <c:v>4.38</c:v>
                </c:pt>
              </c:numCache>
            </c:numRef>
          </c:val>
          <c:extLst>
            <c:ext xmlns:c16="http://schemas.microsoft.com/office/drawing/2014/chart" uri="{C3380CC4-5D6E-409C-BE32-E72D297353CC}">
              <c16:uniqueId val="{00000009-0D4E-429E-9100-D5691AEFC1B4}"/>
            </c:ext>
          </c:extLst>
        </c:ser>
        <c:ser>
          <c:idx val="10"/>
          <c:order val="10"/>
          <c:tx>
            <c:strRef>
              <c:f>'PS5.04_Ind03'!$B$24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'PS5.04_Ind03'!$F$24:$I$24</c:f>
              <c:numCache>
                <c:formatCode>General</c:formatCode>
                <c:ptCount val="4"/>
                <c:pt idx="0">
                  <c:v>4.07</c:v>
                </c:pt>
                <c:pt idx="1">
                  <c:v>3</c:v>
                </c:pt>
                <c:pt idx="2">
                  <c:v>4.18</c:v>
                </c:pt>
                <c:pt idx="3">
                  <c:v>3.93</c:v>
                </c:pt>
              </c:numCache>
            </c:numRef>
          </c:val>
          <c:extLst>
            <c:ext xmlns:c16="http://schemas.microsoft.com/office/drawing/2014/chart" uri="{C3380CC4-5D6E-409C-BE32-E72D297353CC}">
              <c16:uniqueId val="{0000000A-0D4E-429E-9100-D5691AEFC1B4}"/>
            </c:ext>
          </c:extLst>
        </c:ser>
        <c:ser>
          <c:idx val="11"/>
          <c:order val="11"/>
          <c:tx>
            <c:strRef>
              <c:f>'PS5.04_Ind03'!$B$25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'PS5.04_Ind03'!$F$25:$I$25</c:f>
              <c:numCache>
                <c:formatCode>General</c:formatCode>
                <c:ptCount val="4"/>
                <c:pt idx="0">
                  <c:v>3.17</c:v>
                </c:pt>
                <c:pt idx="1">
                  <c:v>4.75</c:v>
                </c:pt>
                <c:pt idx="2">
                  <c:v>3.79</c:v>
                </c:pt>
                <c:pt idx="3">
                  <c:v>3.82</c:v>
                </c:pt>
              </c:numCache>
            </c:numRef>
          </c:val>
          <c:extLst>
            <c:ext xmlns:c16="http://schemas.microsoft.com/office/drawing/2014/chart" uri="{C3380CC4-5D6E-409C-BE32-E72D297353CC}">
              <c16:uniqueId val="{0000000B-0D4E-429E-9100-D5691AEFC1B4}"/>
            </c:ext>
          </c:extLst>
        </c:ser>
        <c:ser>
          <c:idx val="12"/>
          <c:order val="12"/>
          <c:tx>
            <c:strRef>
              <c:f>'PS5.04_Ind03'!$B$26</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'PS5.04_Ind03'!$F$26:$I$26</c:f>
              <c:numCache>
                <c:formatCode>General</c:formatCode>
                <c:ptCount val="4"/>
                <c:pt idx="0">
                  <c:v>3.33</c:v>
                </c:pt>
                <c:pt idx="1">
                  <c:v>0</c:v>
                </c:pt>
                <c:pt idx="2">
                  <c:v>3.72</c:v>
                </c:pt>
                <c:pt idx="3">
                  <c:v>3.38</c:v>
                </c:pt>
              </c:numCache>
            </c:numRef>
          </c:val>
          <c:extLst>
            <c:ext xmlns:c16="http://schemas.microsoft.com/office/drawing/2014/chart" uri="{C3380CC4-5D6E-409C-BE32-E72D297353CC}">
              <c16:uniqueId val="{0000000C-0D4E-429E-9100-D5691AEFC1B4}"/>
            </c:ext>
          </c:extLst>
        </c:ser>
        <c:ser>
          <c:idx val="13"/>
          <c:order val="13"/>
          <c:tx>
            <c:strRef>
              <c:f>'PS5.04_Ind03'!$B$27</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'PS5.04_Ind03'!$F$27:$I$27</c:f>
              <c:numCache>
                <c:formatCode>General</c:formatCode>
                <c:ptCount val="4"/>
                <c:pt idx="0">
                  <c:v>0</c:v>
                </c:pt>
                <c:pt idx="1">
                  <c:v>0</c:v>
                </c:pt>
                <c:pt idx="2">
                  <c:v>3.63</c:v>
                </c:pt>
                <c:pt idx="3">
                  <c:v>0</c:v>
                </c:pt>
              </c:numCache>
            </c:numRef>
          </c:val>
          <c:extLst>
            <c:ext xmlns:c16="http://schemas.microsoft.com/office/drawing/2014/chart" uri="{C3380CC4-5D6E-409C-BE32-E72D297353CC}">
              <c16:uniqueId val="{0000000D-0D4E-429E-9100-D5691AEFC1B4}"/>
            </c:ext>
          </c:extLst>
        </c:ser>
        <c:ser>
          <c:idx val="14"/>
          <c:order val="14"/>
          <c:tx>
            <c:strRef>
              <c:f>'PS5.04_Ind03'!$B$28</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'PS5.04_Ind03'!$F$28:$I$28</c:f>
              <c:numCache>
                <c:formatCode>General</c:formatCode>
                <c:ptCount val="4"/>
                <c:pt idx="0">
                  <c:v>4.22</c:v>
                </c:pt>
                <c:pt idx="1">
                  <c:v>0</c:v>
                </c:pt>
                <c:pt idx="2">
                  <c:v>4.18</c:v>
                </c:pt>
                <c:pt idx="3">
                  <c:v>4.5999999999999996</c:v>
                </c:pt>
              </c:numCache>
            </c:numRef>
          </c:val>
          <c:extLst>
            <c:ext xmlns:c16="http://schemas.microsoft.com/office/drawing/2014/chart" uri="{C3380CC4-5D6E-409C-BE32-E72D297353CC}">
              <c16:uniqueId val="{0000000E-0D4E-429E-9100-D5691AEFC1B4}"/>
            </c:ext>
          </c:extLst>
        </c:ser>
        <c:ser>
          <c:idx val="15"/>
          <c:order val="15"/>
          <c:tx>
            <c:strRef>
              <c:f>'PS5.04_Ind03'!$B$29</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'PS5.04_Ind03'!$F$29:$I$29</c:f>
              <c:numCache>
                <c:formatCode>General</c:formatCode>
                <c:ptCount val="4"/>
                <c:pt idx="0">
                  <c:v>0</c:v>
                </c:pt>
                <c:pt idx="1">
                  <c:v>1.5</c:v>
                </c:pt>
                <c:pt idx="2">
                  <c:v>3.38</c:v>
                </c:pt>
                <c:pt idx="3">
                  <c:v>3.7</c:v>
                </c:pt>
              </c:numCache>
            </c:numRef>
          </c:val>
          <c:extLst>
            <c:ext xmlns:c16="http://schemas.microsoft.com/office/drawing/2014/chart" uri="{C3380CC4-5D6E-409C-BE32-E72D297353CC}">
              <c16:uniqueId val="{0000000F-0D4E-429E-9100-D5691AEFC1B4}"/>
            </c:ext>
          </c:extLst>
        </c:ser>
        <c:ser>
          <c:idx val="16"/>
          <c:order val="16"/>
          <c:tx>
            <c:strRef>
              <c:f>'PS5.04_Ind03'!$B$30</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'PS5.04_Ind03'!$F$30:$I$30</c:f>
              <c:numCache>
                <c:formatCode>General</c:formatCode>
                <c:ptCount val="4"/>
                <c:pt idx="0">
                  <c:v>0</c:v>
                </c:pt>
                <c:pt idx="1">
                  <c:v>2</c:v>
                </c:pt>
                <c:pt idx="2">
                  <c:v>4.1100000000000003</c:v>
                </c:pt>
                <c:pt idx="3">
                  <c:v>0</c:v>
                </c:pt>
              </c:numCache>
            </c:numRef>
          </c:val>
          <c:extLst>
            <c:ext xmlns:c16="http://schemas.microsoft.com/office/drawing/2014/chart" uri="{C3380CC4-5D6E-409C-BE32-E72D297353CC}">
              <c16:uniqueId val="{00000010-0D4E-429E-9100-D5691AEFC1B4}"/>
            </c:ext>
          </c:extLst>
        </c:ser>
        <c:ser>
          <c:idx val="17"/>
          <c:order val="17"/>
          <c:tx>
            <c:strRef>
              <c:f>'PS5.04_Ind03'!$B$31</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'PS5.04_Ind03'!$F$31:$I$31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11-0D4E-429E-9100-D5691AEFC1B4}"/>
            </c:ext>
          </c:extLst>
        </c:ser>
        <c:ser>
          <c:idx val="18"/>
          <c:order val="18"/>
          <c:tx>
            <c:strRef>
              <c:f>'PS5.04_Ind03'!$B$32</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'PS5.04_Ind03'!$F$32:$I$32</c:f>
              <c:numCache>
                <c:formatCode>General</c:formatCode>
                <c:ptCount val="4"/>
                <c:pt idx="0">
                  <c:v>0</c:v>
                </c:pt>
                <c:pt idx="1">
                  <c:v>3</c:v>
                </c:pt>
                <c:pt idx="2">
                  <c:v>3.71</c:v>
                </c:pt>
                <c:pt idx="3">
                  <c:v>0</c:v>
                </c:pt>
              </c:numCache>
            </c:numRef>
          </c:val>
          <c:extLst>
            <c:ext xmlns:c16="http://schemas.microsoft.com/office/drawing/2014/chart" uri="{C3380CC4-5D6E-409C-BE32-E72D297353CC}">
              <c16:uniqueId val="{00000012-0D4E-429E-9100-D5691AEFC1B4}"/>
            </c:ext>
          </c:extLst>
        </c:ser>
        <c:dLbls>
          <c:showLegendKey val="0"/>
          <c:showVal val="0"/>
          <c:showCatName val="0"/>
          <c:showSerName val="0"/>
          <c:showPercent val="0"/>
          <c:showBubbleSize val="0"/>
        </c:dLbls>
        <c:gapWidth val="100"/>
        <c:axId val="1718215824"/>
        <c:axId val="1550379744"/>
      </c:barChart>
      <c:lineChart>
        <c:grouping val="standard"/>
        <c:varyColors val="0"/>
        <c:ser>
          <c:idx val="19"/>
          <c:order val="19"/>
          <c:tx>
            <c:strRef>
              <c:f>'PS5.04_Ind03'!$B$35</c:f>
              <c:strCache>
                <c:ptCount val="1"/>
                <c:pt idx="0">
                  <c:v>Valor objectiu</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none"/>
          </c:marker>
          <c:cat>
            <c:strRef>
              <c:f>'PS5.04_Ind03'!$F$14:$I$14</c:f>
              <c:strCache>
                <c:ptCount val="4"/>
                <c:pt idx="0">
                  <c:v>2019/2020</c:v>
                </c:pt>
                <c:pt idx="1">
                  <c:v>2020/2021</c:v>
                </c:pt>
                <c:pt idx="2">
                  <c:v>2021/2022</c:v>
                </c:pt>
                <c:pt idx="3">
                  <c:v>2022/2023</c:v>
                </c:pt>
              </c:strCache>
            </c:strRef>
          </c:cat>
          <c:val>
            <c:numRef>
              <c:f>'PS5.04_Ind03'!$F$35:$I$35</c:f>
              <c:numCache>
                <c:formatCode>0.00</c:formatCode>
                <c:ptCount val="4"/>
                <c:pt idx="0">
                  <c:v>3.5</c:v>
                </c:pt>
                <c:pt idx="1">
                  <c:v>3.5</c:v>
                </c:pt>
                <c:pt idx="2">
                  <c:v>3.5</c:v>
                </c:pt>
                <c:pt idx="3">
                  <c:v>3.5</c:v>
                </c:pt>
              </c:numCache>
            </c:numRef>
          </c:val>
          <c:smooth val="0"/>
          <c:extLst>
            <c:ext xmlns:c16="http://schemas.microsoft.com/office/drawing/2014/chart" uri="{C3380CC4-5D6E-409C-BE32-E72D297353CC}">
              <c16:uniqueId val="{00000013-0D4E-429E-9100-D5691AEFC1B4}"/>
            </c:ext>
          </c:extLst>
        </c:ser>
        <c:dLbls>
          <c:showLegendKey val="0"/>
          <c:showVal val="0"/>
          <c:showCatName val="0"/>
          <c:showSerName val="0"/>
          <c:showPercent val="0"/>
          <c:showBubbleSize val="0"/>
        </c:dLbls>
        <c:marker val="1"/>
        <c:smooth val="0"/>
        <c:axId val="1718215824"/>
        <c:axId val="1550379744"/>
      </c:lineChart>
      <c:catAx>
        <c:axId val="17182158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50379744"/>
        <c:crosses val="autoZero"/>
        <c:auto val="1"/>
        <c:lblAlgn val="ctr"/>
        <c:lblOffset val="100"/>
        <c:noMultiLvlLbl val="0"/>
      </c:catAx>
      <c:valAx>
        <c:axId val="15503797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182158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PS5.04_Ind04. Percentatge de respostes de l’afirmació “Tornaria a triar la mateixa titulació” a les enquestes de satisfacció de la UAB.</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'PS5.04_Ind04'!$B$42</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'PS5.04_Ind04'!$C$42:$E$42</c:f>
              <c:numCache>
                <c:formatCode>General</c:formatCode>
                <c:ptCount val="3"/>
              </c:numCache>
            </c:numRef>
          </c:val>
          <c:extLst>
            <c:ext xmlns:c16="http://schemas.microsoft.com/office/drawing/2014/chart" uri="{C3380CC4-5D6E-409C-BE32-E72D297353CC}">
              <c16:uniqueId val="{00000000-B995-40D7-A64E-EF3144EA8734}"/>
            </c:ext>
          </c:extLst>
        </c:ser>
        <c:ser>
          <c:idx val="1"/>
          <c:order val="1"/>
          <c:tx>
            <c:strRef>
              <c:f>'PS5.04_Ind04'!$B$15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'PS5.04_Ind04'!$F$15:$I$15</c:f>
              <c:numCache>
                <c:formatCode>0.00%</c:formatCode>
                <c:ptCount val="4"/>
                <c:pt idx="0">
                  <c:v>0.625</c:v>
                </c:pt>
                <c:pt idx="1">
                  <c:v>0.8</c:v>
                </c:pt>
                <c:pt idx="2">
                  <c:v>0.88239999999999996</c:v>
                </c:pt>
                <c:pt idx="3">
                  <c:v>0.46150000000000002</c:v>
                </c:pt>
              </c:numCache>
            </c:numRef>
          </c:val>
          <c:extLst>
            <c:ext xmlns:c16="http://schemas.microsoft.com/office/drawing/2014/chart" uri="{C3380CC4-5D6E-409C-BE32-E72D297353CC}">
              <c16:uniqueId val="{00000001-B995-40D7-A64E-EF3144EA8734}"/>
            </c:ext>
          </c:extLst>
        </c:ser>
        <c:ser>
          <c:idx val="2"/>
          <c:order val="2"/>
          <c:tx>
            <c:strRef>
              <c:f>'PS5.04_Ind04'!$B$16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'PS5.04_Ind04'!$F$16:$I$16</c:f>
              <c:numCache>
                <c:formatCode>0.00%</c:formatCode>
                <c:ptCount val="4"/>
                <c:pt idx="0">
                  <c:v>0.8</c:v>
                </c:pt>
                <c:pt idx="1">
                  <c:v>0</c:v>
                </c:pt>
                <c:pt idx="2">
                  <c:v>100</c:v>
                </c:pt>
                <c:pt idx="3">
                  <c:v>0.42859999999999998</c:v>
                </c:pt>
              </c:numCache>
            </c:numRef>
          </c:val>
          <c:extLst>
            <c:ext xmlns:c16="http://schemas.microsoft.com/office/drawing/2014/chart" uri="{C3380CC4-5D6E-409C-BE32-E72D297353CC}">
              <c16:uniqueId val="{00000002-B995-40D7-A64E-EF3144EA8734}"/>
            </c:ext>
          </c:extLst>
        </c:ser>
        <c:ser>
          <c:idx val="3"/>
          <c:order val="3"/>
          <c:tx>
            <c:strRef>
              <c:f>'PS5.04_Ind04'!$B$17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'PS5.04_Ind04'!$F$17:$I$17</c:f>
              <c:numCache>
                <c:formatCode>0.00%</c:formatCode>
                <c:ptCount val="4"/>
                <c:pt idx="0">
                  <c:v>0.66669999999999996</c:v>
                </c:pt>
                <c:pt idx="1">
                  <c:v>0.5</c:v>
                </c:pt>
                <c:pt idx="2">
                  <c:v>0.5</c:v>
                </c:pt>
                <c:pt idx="3">
                  <c:v>0.77780000000000005</c:v>
                </c:pt>
              </c:numCache>
            </c:numRef>
          </c:val>
          <c:extLst>
            <c:ext xmlns:c16="http://schemas.microsoft.com/office/drawing/2014/chart" uri="{C3380CC4-5D6E-409C-BE32-E72D297353CC}">
              <c16:uniqueId val="{00000003-B995-40D7-A64E-EF3144EA8734}"/>
            </c:ext>
          </c:extLst>
        </c:ser>
        <c:ser>
          <c:idx val="4"/>
          <c:order val="4"/>
          <c:tx>
            <c:strRef>
              <c:f>'PS5.04_Ind04'!$B$18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'PS5.04_Ind04'!$F$18:$I$18</c:f>
              <c:numCache>
                <c:formatCode>0.00%</c:formatCode>
                <c:ptCount val="4"/>
                <c:pt idx="0">
                  <c:v>0.69230000000000003</c:v>
                </c:pt>
                <c:pt idx="1">
                  <c:v>0.66669999999999996</c:v>
                </c:pt>
                <c:pt idx="2">
                  <c:v>57.14</c:v>
                </c:pt>
                <c:pt idx="3">
                  <c:v>0.88670000000000004</c:v>
                </c:pt>
              </c:numCache>
            </c:numRef>
          </c:val>
          <c:extLst>
            <c:ext xmlns:c16="http://schemas.microsoft.com/office/drawing/2014/chart" uri="{C3380CC4-5D6E-409C-BE32-E72D297353CC}">
              <c16:uniqueId val="{00000004-B995-40D7-A64E-EF3144EA8734}"/>
            </c:ext>
          </c:extLst>
        </c:ser>
        <c:ser>
          <c:idx val="5"/>
          <c:order val="5"/>
          <c:tx>
            <c:strRef>
              <c:f>'PS5.04_Ind04'!$B$19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'PS5.04_Ind04'!$F$19:$I$19</c:f>
              <c:numCache>
                <c:formatCode>0.00%</c:formatCode>
                <c:ptCount val="4"/>
                <c:pt idx="0">
                  <c:v>0</c:v>
                </c:pt>
                <c:pt idx="1">
                  <c:v>1</c:v>
                </c:pt>
                <c:pt idx="2">
                  <c:v>66.67</c:v>
                </c:pt>
                <c:pt idx="3">
                  <c:v>0.85709999999999997</c:v>
                </c:pt>
              </c:numCache>
            </c:numRef>
          </c:val>
          <c:extLst>
            <c:ext xmlns:c16="http://schemas.microsoft.com/office/drawing/2014/chart" uri="{C3380CC4-5D6E-409C-BE32-E72D297353CC}">
              <c16:uniqueId val="{00000005-B995-40D7-A64E-EF3144EA8734}"/>
            </c:ext>
          </c:extLst>
        </c:ser>
        <c:ser>
          <c:idx val="6"/>
          <c:order val="6"/>
          <c:tx>
            <c:strRef>
              <c:f>'PS5.04_Ind04'!$B$20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'PS5.04_Ind04'!$F$20:$I$20</c:f>
              <c:numCache>
                <c:formatCode>0.00%</c:formatCode>
                <c:ptCount val="4"/>
                <c:pt idx="0">
                  <c:v>0</c:v>
                </c:pt>
                <c:pt idx="1">
                  <c:v>0.5</c:v>
                </c:pt>
                <c:pt idx="2">
                  <c:v>87.5</c:v>
                </c:pt>
                <c:pt idx="3">
                  <c:v>0.83330000000000004</c:v>
                </c:pt>
              </c:numCache>
            </c:numRef>
          </c:val>
          <c:extLst>
            <c:ext xmlns:c16="http://schemas.microsoft.com/office/drawing/2014/chart" uri="{C3380CC4-5D6E-409C-BE32-E72D297353CC}">
              <c16:uniqueId val="{00000006-B995-40D7-A64E-EF3144EA8734}"/>
            </c:ext>
          </c:extLst>
        </c:ser>
        <c:ser>
          <c:idx val="7"/>
          <c:order val="7"/>
          <c:tx>
            <c:strRef>
              <c:f>'PS5.04_Ind04'!$B$21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'PS5.04_Ind04'!$F$21:$I$21</c:f>
              <c:numCache>
                <c:formatCode>0.00%</c:formatCode>
                <c:ptCount val="4"/>
                <c:pt idx="0">
                  <c:v>0</c:v>
                </c:pt>
                <c:pt idx="1">
                  <c:v>0</c:v>
                </c:pt>
                <c:pt idx="2">
                  <c:v>0.57140000000000002</c:v>
                </c:pt>
                <c:pt idx="3">
                  <c:v>0</c:v>
                </c:pt>
              </c:numCache>
            </c:numRef>
          </c:val>
          <c:extLst>
            <c:ext xmlns:c16="http://schemas.microsoft.com/office/drawing/2014/chart" uri="{C3380CC4-5D6E-409C-BE32-E72D297353CC}">
              <c16:uniqueId val="{00000007-B995-40D7-A64E-EF3144EA8734}"/>
            </c:ext>
          </c:extLst>
        </c:ser>
        <c:ser>
          <c:idx val="8"/>
          <c:order val="8"/>
          <c:tx>
            <c:strRef>
              <c:f>'PS5.04_Ind04'!$B$22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'PS5.04_Ind04'!$F$22:$I$22</c:f>
              <c:numCache>
                <c:formatCode>0.00%</c:formatCode>
                <c:ptCount val="4"/>
                <c:pt idx="0">
                  <c:v>0</c:v>
                </c:pt>
                <c:pt idx="1">
                  <c:v>0</c:v>
                </c:pt>
                <c:pt idx="2">
                  <c:v>1</c:v>
                </c:pt>
                <c:pt idx="3">
                  <c:v>0.92310000000000003</c:v>
                </c:pt>
              </c:numCache>
            </c:numRef>
          </c:val>
          <c:extLst>
            <c:ext xmlns:c16="http://schemas.microsoft.com/office/drawing/2014/chart" uri="{C3380CC4-5D6E-409C-BE32-E72D297353CC}">
              <c16:uniqueId val="{00000008-B995-40D7-A64E-EF3144EA8734}"/>
            </c:ext>
          </c:extLst>
        </c:ser>
        <c:ser>
          <c:idx val="9"/>
          <c:order val="9"/>
          <c:tx>
            <c:strRef>
              <c:f>'PS5.04_Ind04'!$B$23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'PS5.04_Ind04'!$F$23:$I$23</c:f>
              <c:numCache>
                <c:formatCode>0.00%</c:formatCode>
                <c:ptCount val="4"/>
                <c:pt idx="0">
                  <c:v>0.54549999999999998</c:v>
                </c:pt>
                <c:pt idx="1">
                  <c:v>0.8</c:v>
                </c:pt>
                <c:pt idx="2">
                  <c:v>0.66669999999999996</c:v>
                </c:pt>
                <c:pt idx="3">
                  <c:v>0.92859999999999998</c:v>
                </c:pt>
              </c:numCache>
            </c:numRef>
          </c:val>
          <c:extLst>
            <c:ext xmlns:c16="http://schemas.microsoft.com/office/drawing/2014/chart" uri="{C3380CC4-5D6E-409C-BE32-E72D297353CC}">
              <c16:uniqueId val="{00000009-B995-40D7-A64E-EF3144EA8734}"/>
            </c:ext>
          </c:extLst>
        </c:ser>
        <c:ser>
          <c:idx val="10"/>
          <c:order val="10"/>
          <c:tx>
            <c:strRef>
              <c:f>'PS5.04_Ind04'!$B$24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'PS5.04_Ind04'!$F$24:$I$24</c:f>
              <c:numCache>
                <c:formatCode>0.00%</c:formatCode>
                <c:ptCount val="4"/>
                <c:pt idx="0">
                  <c:v>0.73329999999999995</c:v>
                </c:pt>
                <c:pt idx="1">
                  <c:v>0.5</c:v>
                </c:pt>
                <c:pt idx="2">
                  <c:v>0.72729999999999995</c:v>
                </c:pt>
                <c:pt idx="3">
                  <c:v>0.4667</c:v>
                </c:pt>
              </c:numCache>
            </c:numRef>
          </c:val>
          <c:extLst>
            <c:ext xmlns:c16="http://schemas.microsoft.com/office/drawing/2014/chart" uri="{C3380CC4-5D6E-409C-BE32-E72D297353CC}">
              <c16:uniqueId val="{0000000A-B995-40D7-A64E-EF3144EA8734}"/>
            </c:ext>
          </c:extLst>
        </c:ser>
        <c:ser>
          <c:idx val="11"/>
          <c:order val="11"/>
          <c:tx>
            <c:strRef>
              <c:f>'PS5.04_Ind04'!$B$25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'PS5.04_Ind04'!$F$25:$I$25</c:f>
              <c:numCache>
                <c:formatCode>0.00%</c:formatCode>
                <c:ptCount val="4"/>
                <c:pt idx="0">
                  <c:v>0.66669999999999996</c:v>
                </c:pt>
                <c:pt idx="1">
                  <c:v>1</c:v>
                </c:pt>
                <c:pt idx="2">
                  <c:v>0.84240000000000004</c:v>
                </c:pt>
                <c:pt idx="3">
                  <c:v>0.82350000000000001</c:v>
                </c:pt>
              </c:numCache>
            </c:numRef>
          </c:val>
          <c:extLst>
            <c:ext xmlns:c16="http://schemas.microsoft.com/office/drawing/2014/chart" uri="{C3380CC4-5D6E-409C-BE32-E72D297353CC}">
              <c16:uniqueId val="{0000000B-B995-40D7-A64E-EF3144EA8734}"/>
            </c:ext>
          </c:extLst>
        </c:ser>
        <c:ser>
          <c:idx val="12"/>
          <c:order val="12"/>
          <c:tx>
            <c:strRef>
              <c:f>'PS5.04_Ind04'!$B$26</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'PS5.04_Ind04'!$F$26:$I$26</c:f>
              <c:numCache>
                <c:formatCode>0.00%</c:formatCode>
                <c:ptCount val="4"/>
                <c:pt idx="0">
                  <c:v>0.5</c:v>
                </c:pt>
                <c:pt idx="1">
                  <c:v>0</c:v>
                </c:pt>
                <c:pt idx="2">
                  <c:v>0.84209999999999996</c:v>
                </c:pt>
                <c:pt idx="3">
                  <c:v>0.46150000000000002</c:v>
                </c:pt>
              </c:numCache>
            </c:numRef>
          </c:val>
          <c:extLst>
            <c:ext xmlns:c16="http://schemas.microsoft.com/office/drawing/2014/chart" uri="{C3380CC4-5D6E-409C-BE32-E72D297353CC}">
              <c16:uniqueId val="{0000000C-B995-40D7-A64E-EF3144EA8734}"/>
            </c:ext>
          </c:extLst>
        </c:ser>
        <c:ser>
          <c:idx val="13"/>
          <c:order val="13"/>
          <c:tx>
            <c:strRef>
              <c:f>'PS5.04_Ind04'!$B$27</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'PS5.04_Ind04'!$F$27:$I$27</c:f>
              <c:numCache>
                <c:formatCode>0.00%</c:formatCode>
                <c:ptCount val="4"/>
                <c:pt idx="0">
                  <c:v>0</c:v>
                </c:pt>
                <c:pt idx="1">
                  <c:v>0</c:v>
                </c:pt>
                <c:pt idx="2">
                  <c:v>0.625</c:v>
                </c:pt>
                <c:pt idx="3">
                  <c:v>0</c:v>
                </c:pt>
              </c:numCache>
            </c:numRef>
          </c:val>
          <c:extLst>
            <c:ext xmlns:c16="http://schemas.microsoft.com/office/drawing/2014/chart" uri="{C3380CC4-5D6E-409C-BE32-E72D297353CC}">
              <c16:uniqueId val="{0000000D-B995-40D7-A64E-EF3144EA8734}"/>
            </c:ext>
          </c:extLst>
        </c:ser>
        <c:ser>
          <c:idx val="14"/>
          <c:order val="14"/>
          <c:tx>
            <c:strRef>
              <c:f>'PS5.04_Ind04'!$B$28</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'PS5.04_Ind04'!$F$28:$I$28</c:f>
              <c:numCache>
                <c:formatCode>0.00%</c:formatCode>
                <c:ptCount val="4"/>
                <c:pt idx="0">
                  <c:v>1</c:v>
                </c:pt>
                <c:pt idx="1">
                  <c:v>0</c:v>
                </c:pt>
                <c:pt idx="2">
                  <c:v>0.72729999999999995</c:v>
                </c:pt>
                <c:pt idx="3">
                  <c:v>1</c:v>
                </c:pt>
              </c:numCache>
            </c:numRef>
          </c:val>
          <c:extLst>
            <c:ext xmlns:c16="http://schemas.microsoft.com/office/drawing/2014/chart" uri="{C3380CC4-5D6E-409C-BE32-E72D297353CC}">
              <c16:uniqueId val="{0000000E-B995-40D7-A64E-EF3144EA8734}"/>
            </c:ext>
          </c:extLst>
        </c:ser>
        <c:ser>
          <c:idx val="15"/>
          <c:order val="15"/>
          <c:tx>
            <c:strRef>
              <c:f>'PS5.04_Ind04'!$B$29</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'PS5.04_Ind04'!$F$29:$I$29</c:f>
              <c:numCache>
                <c:formatCode>0.00%</c:formatCode>
                <c:ptCount val="4"/>
                <c:pt idx="0">
                  <c:v>0</c:v>
                </c:pt>
                <c:pt idx="1">
                  <c:v>0</c:v>
                </c:pt>
                <c:pt idx="2">
                  <c:v>0.5</c:v>
                </c:pt>
                <c:pt idx="3">
                  <c:v>0.8</c:v>
                </c:pt>
              </c:numCache>
            </c:numRef>
          </c:val>
          <c:extLst>
            <c:ext xmlns:c16="http://schemas.microsoft.com/office/drawing/2014/chart" uri="{C3380CC4-5D6E-409C-BE32-E72D297353CC}">
              <c16:uniqueId val="{0000000F-B995-40D7-A64E-EF3144EA8734}"/>
            </c:ext>
          </c:extLst>
        </c:ser>
        <c:ser>
          <c:idx val="16"/>
          <c:order val="16"/>
          <c:tx>
            <c:strRef>
              <c:f>'PS5.04_Ind04'!$B$30</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'PS5.04_Ind04'!$F$30:$I$30</c:f>
              <c:numCache>
                <c:formatCode>0.00%</c:formatCode>
                <c:ptCount val="4"/>
                <c:pt idx="0">
                  <c:v>0</c:v>
                </c:pt>
                <c:pt idx="1">
                  <c:v>0</c:v>
                </c:pt>
                <c:pt idx="2">
                  <c:v>0.77780000000000005</c:v>
                </c:pt>
                <c:pt idx="3">
                  <c:v>0</c:v>
                </c:pt>
              </c:numCache>
            </c:numRef>
          </c:val>
          <c:extLst>
            <c:ext xmlns:c16="http://schemas.microsoft.com/office/drawing/2014/chart" uri="{C3380CC4-5D6E-409C-BE32-E72D297353CC}">
              <c16:uniqueId val="{00000010-B995-40D7-A64E-EF3144EA8734}"/>
            </c:ext>
          </c:extLst>
        </c:ser>
        <c:ser>
          <c:idx val="17"/>
          <c:order val="17"/>
          <c:tx>
            <c:strRef>
              <c:f>'PS5.04_Ind04'!$B$32</c:f>
              <c:strCache>
                <c:ptCount val="1"/>
                <c:pt idx="0">
                  <c:v>Química Industrial i Introducció a la Recerca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'PS5.04_Ind04'!$F$32:$I$32</c:f>
              <c:numCache>
                <c:formatCode>0.00%</c:formatCode>
                <c:ptCount val="4"/>
                <c:pt idx="0">
                  <c:v>0</c:v>
                </c:pt>
                <c:pt idx="1">
                  <c:v>0.33329999999999999</c:v>
                </c:pt>
                <c:pt idx="2">
                  <c:v>0.69230000000000003</c:v>
                </c:pt>
                <c:pt idx="3">
                  <c:v>0</c:v>
                </c:pt>
              </c:numCache>
            </c:numRef>
          </c:val>
          <c:extLst>
            <c:ext xmlns:c16="http://schemas.microsoft.com/office/drawing/2014/chart" uri="{C3380CC4-5D6E-409C-BE32-E72D297353CC}">
              <c16:uniqueId val="{00000011-B995-40D7-A64E-EF3144EA8734}"/>
            </c:ext>
          </c:extLst>
        </c:ser>
        <c:dLbls>
          <c:showLegendKey val="0"/>
          <c:showVal val="0"/>
          <c:showCatName val="0"/>
          <c:showSerName val="0"/>
          <c:showPercent val="0"/>
          <c:showBubbleSize val="0"/>
        </c:dLbls>
        <c:gapWidth val="219"/>
        <c:axId val="1697400656"/>
        <c:axId val="1550374464"/>
      </c:barChart>
      <c:lineChart>
        <c:grouping val="standard"/>
        <c:varyColors val="0"/>
        <c:ser>
          <c:idx val="19"/>
          <c:order val="18"/>
          <c:tx>
            <c:strRef>
              <c:f>'PS5.04_Ind04'!$F$36:$I$36</c:f>
              <c:strCache>
                <c:ptCount val="4"/>
                <c:pt idx="0">
                  <c:v>1</c:v>
                </c:pt>
                <c:pt idx="1">
                  <c:v>0</c:v>
                </c:pt>
                <c:pt idx="2">
                  <c:v>0</c:v>
                </c:pt>
                <c:pt idx="3">
                  <c:v>1</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Ref>
              <c:f>'PS5.04_Ind04'!$D$14:$H$14</c:f>
              <c:strCache>
                <c:ptCount val="5"/>
                <c:pt idx="0">
                  <c:v>2017/2018</c:v>
                </c:pt>
                <c:pt idx="1">
                  <c:v>2018/2019</c:v>
                </c:pt>
                <c:pt idx="2">
                  <c:v>2019/2020</c:v>
                </c:pt>
                <c:pt idx="3">
                  <c:v>2020/2021</c:v>
                </c:pt>
                <c:pt idx="4">
                  <c:v>2021/2022</c:v>
                </c:pt>
              </c:strCache>
            </c:strRef>
          </c:cat>
          <c:val>
            <c:numRef>
              <c:f>'PS5.04_Ind04'!$D$38:$H$38</c:f>
              <c:numCache>
                <c:formatCode>0.00%</c:formatCode>
                <c:ptCount val="5"/>
                <c:pt idx="0">
                  <c:v>0.85</c:v>
                </c:pt>
                <c:pt idx="1">
                  <c:v>0.85</c:v>
                </c:pt>
                <c:pt idx="2">
                  <c:v>0.85</c:v>
                </c:pt>
                <c:pt idx="3">
                  <c:v>0.85</c:v>
                </c:pt>
                <c:pt idx="4">
                  <c:v>0.85</c:v>
                </c:pt>
              </c:numCache>
            </c:numRef>
          </c:val>
          <c:smooth val="0"/>
          <c:extLst>
            <c:ext xmlns:c16="http://schemas.microsoft.com/office/drawing/2014/chart" uri="{C3380CC4-5D6E-409C-BE32-E72D297353CC}">
              <c16:uniqueId val="{00000013-B995-40D7-A64E-EF3144EA8734}"/>
            </c:ext>
          </c:extLst>
        </c:ser>
        <c:dLbls>
          <c:showLegendKey val="0"/>
          <c:showVal val="0"/>
          <c:showCatName val="0"/>
          <c:showSerName val="0"/>
          <c:showPercent val="0"/>
          <c:showBubbleSize val="0"/>
        </c:dLbls>
        <c:marker val="1"/>
        <c:smooth val="0"/>
        <c:axId val="1697400656"/>
        <c:axId val="1550374464"/>
      </c:lineChart>
      <c:catAx>
        <c:axId val="1697400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50374464"/>
        <c:crosses val="autoZero"/>
        <c:auto val="1"/>
        <c:lblAlgn val="ctr"/>
        <c:lblOffset val="100"/>
        <c:noMultiLvlLbl val="0"/>
      </c:catAx>
      <c:valAx>
        <c:axId val="1550374464"/>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9740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effectLst/>
              </a:rPr>
              <a:t>PS5.05_Ind01. Taxa d’eficàcia: percentatge de suggeriments i queixes respostes (15 dies hàbils</a:t>
            </a:r>
            <a:r>
              <a:rPr lang="ca-ES" sz="1800">
                <a:effectLst/>
              </a:rPr>
              <a: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'PS5.05_Ind01'!$B$18</c:f>
              <c:strCache>
                <c:ptCount val="1"/>
                <c:pt idx="0">
                  <c:v>14. Gràfic</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'PS5.05_Ind01'!$D$13:$J$13</c:f>
              <c:strCache>
                <c:ptCount val="7"/>
                <c:pt idx="0">
                  <c:v>2017/2018</c:v>
                </c:pt>
                <c:pt idx="1">
                  <c:v>2018/2019</c:v>
                </c:pt>
                <c:pt idx="2">
                  <c:v>2019/2020</c:v>
                </c:pt>
                <c:pt idx="3">
                  <c:v>2020/2021</c:v>
                </c:pt>
                <c:pt idx="4">
                  <c:v>2021/2022</c:v>
                </c:pt>
                <c:pt idx="5">
                  <c:v>2022/2023</c:v>
                </c:pt>
                <c:pt idx="6">
                  <c:v>2023/2024</c:v>
                </c:pt>
              </c:strCache>
            </c:strRef>
          </c:cat>
          <c:val>
            <c:numRef>
              <c:f>'PS5.05_Ind01'!$C$18:$E$18</c:f>
              <c:numCache>
                <c:formatCode>General</c:formatCode>
                <c:ptCount val="3"/>
              </c:numCache>
            </c:numRef>
          </c:val>
          <c:extLst>
            <c:ext xmlns:c16="http://schemas.microsoft.com/office/drawing/2014/chart" uri="{C3380CC4-5D6E-409C-BE32-E72D297353CC}">
              <c16:uniqueId val="{00000000-41BF-4885-9D83-612036371862}"/>
            </c:ext>
          </c:extLst>
        </c:ser>
        <c:ser>
          <c:idx val="1"/>
          <c:order val="1"/>
          <c:tx>
            <c:strRef>
              <c:f>'PS5.05_Ind01'!$C$14</c:f>
              <c:strCache>
                <c:ptCount val="1"/>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'PS5.05_Ind01'!$D$13:$J$13</c:f>
              <c:strCache>
                <c:ptCount val="7"/>
                <c:pt idx="0">
                  <c:v>2017/2018</c:v>
                </c:pt>
                <c:pt idx="1">
                  <c:v>2018/2019</c:v>
                </c:pt>
                <c:pt idx="2">
                  <c:v>2019/2020</c:v>
                </c:pt>
                <c:pt idx="3">
                  <c:v>2020/2021</c:v>
                </c:pt>
                <c:pt idx="4">
                  <c:v>2021/2022</c:v>
                </c:pt>
                <c:pt idx="5">
                  <c:v>2022/2023</c:v>
                </c:pt>
                <c:pt idx="6">
                  <c:v>2023/2024</c:v>
                </c:pt>
              </c:strCache>
            </c:strRef>
          </c:cat>
          <c:val>
            <c:numRef>
              <c:f>'PS5.05_Ind01'!$D$14:$J$14</c:f>
              <c:numCache>
                <c:formatCode>0%</c:formatCode>
                <c:ptCount val="7"/>
                <c:pt idx="0">
                  <c:v>1</c:v>
                </c:pt>
                <c:pt idx="1">
                  <c:v>0.8</c:v>
                </c:pt>
                <c:pt idx="2">
                  <c:v>0.82</c:v>
                </c:pt>
                <c:pt idx="3">
                  <c:v>1</c:v>
                </c:pt>
                <c:pt idx="4">
                  <c:v>1</c:v>
                </c:pt>
                <c:pt idx="5">
                  <c:v>1</c:v>
                </c:pt>
                <c:pt idx="6">
                  <c:v>0.97</c:v>
                </c:pt>
              </c:numCache>
            </c:numRef>
          </c:val>
          <c:extLst>
            <c:ext xmlns:c16="http://schemas.microsoft.com/office/drawing/2014/chart" uri="{C3380CC4-5D6E-409C-BE32-E72D297353CC}">
              <c16:uniqueId val="{00000001-41BF-4885-9D83-612036371862}"/>
            </c:ext>
          </c:extLst>
        </c:ser>
        <c:dLbls>
          <c:showLegendKey val="0"/>
          <c:showVal val="0"/>
          <c:showCatName val="0"/>
          <c:showSerName val="0"/>
          <c:showPercent val="0"/>
          <c:showBubbleSize val="0"/>
        </c:dLbls>
        <c:gapWidth val="219"/>
        <c:axId val="2000471648"/>
        <c:axId val="1680304640"/>
      </c:barChart>
      <c:lineChart>
        <c:grouping val="standard"/>
        <c:varyColors val="0"/>
        <c:ser>
          <c:idx val="2"/>
          <c:order val="2"/>
          <c:tx>
            <c:strRef>
              <c:f>'PS5.05_Ind01'!$C$16</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cat>
            <c:strRef>
              <c:f>'PS5.05_Ind01'!$D$13:$H$13</c:f>
              <c:strCache>
                <c:ptCount val="5"/>
                <c:pt idx="0">
                  <c:v>2017/2018</c:v>
                </c:pt>
                <c:pt idx="1">
                  <c:v>2018/2019</c:v>
                </c:pt>
                <c:pt idx="2">
                  <c:v>2019/2020</c:v>
                </c:pt>
                <c:pt idx="3">
                  <c:v>2020/2021</c:v>
                </c:pt>
                <c:pt idx="4">
                  <c:v>2021/2022</c:v>
                </c:pt>
              </c:strCache>
            </c:strRef>
          </c:cat>
          <c:val>
            <c:numRef>
              <c:f>'PS5.05_Ind01'!$D$16:$J$16</c:f>
              <c:numCache>
                <c:formatCode>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2-41BF-4885-9D83-612036371862}"/>
            </c:ext>
          </c:extLst>
        </c:ser>
        <c:dLbls>
          <c:showLegendKey val="0"/>
          <c:showVal val="0"/>
          <c:showCatName val="0"/>
          <c:showSerName val="0"/>
          <c:showPercent val="0"/>
          <c:showBubbleSize val="0"/>
        </c:dLbls>
        <c:marker val="1"/>
        <c:smooth val="0"/>
        <c:axId val="2000471648"/>
        <c:axId val="1680304640"/>
      </c:lineChart>
      <c:catAx>
        <c:axId val="20004716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80304640"/>
        <c:crosses val="autoZero"/>
        <c:auto val="1"/>
        <c:lblAlgn val="ctr"/>
        <c:lblOffset val="100"/>
        <c:noMultiLvlLbl val="0"/>
      </c:catAx>
      <c:valAx>
        <c:axId val="1680304640"/>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00471648"/>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PS5_05-Ind-02. Temps mitjà de resposta igual o inferior a 7,5 dies hàbils de les queixes i els suggeriments (termini màxim: 15 dies hàbils)</a:t>
            </a:r>
            <a:endParaRPr lang="ca-ES" sz="10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'PS5.05_Ind01'!$B$18</c:f>
              <c:strCache>
                <c:ptCount val="1"/>
                <c:pt idx="0">
                  <c:v>14. Gràfic</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'PS5.05_Ind02'!$C$13:$I$13</c:f>
              <c:strCache>
                <c:ptCount val="7"/>
                <c:pt idx="0">
                  <c:v>2017/2018</c:v>
                </c:pt>
                <c:pt idx="1">
                  <c:v>2018/2019</c:v>
                </c:pt>
                <c:pt idx="2">
                  <c:v>2019/2020</c:v>
                </c:pt>
                <c:pt idx="3">
                  <c:v>2020/2021</c:v>
                </c:pt>
                <c:pt idx="4">
                  <c:v>2021/2022</c:v>
                </c:pt>
                <c:pt idx="5">
                  <c:v>2022/2023</c:v>
                </c:pt>
                <c:pt idx="6">
                  <c:v>2023/2024</c:v>
                </c:pt>
              </c:strCache>
            </c:strRef>
          </c:cat>
          <c:val>
            <c:numRef>
              <c:f>'PS5.05_Ind01'!$D$13:$I$13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E11-46CE-98FA-4F981551B434}"/>
            </c:ext>
          </c:extLst>
        </c:ser>
        <c:ser>
          <c:idx val="1"/>
          <c:order val="1"/>
          <c:tx>
            <c:strRef>
              <c:f>'PS5.05_Ind02'!$B$14</c:f>
              <c:strCache>
                <c:ptCount val="1"/>
                <c:pt idx="0">
                  <c:v>Temps mitjà</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'PS5.05_Ind02'!$C$13:$I$13</c:f>
              <c:strCache>
                <c:ptCount val="7"/>
                <c:pt idx="0">
                  <c:v>2017/2018</c:v>
                </c:pt>
                <c:pt idx="1">
                  <c:v>2018/2019</c:v>
                </c:pt>
                <c:pt idx="2">
                  <c:v>2019/2020</c:v>
                </c:pt>
                <c:pt idx="3">
                  <c:v>2020/2021</c:v>
                </c:pt>
                <c:pt idx="4">
                  <c:v>2021/2022</c:v>
                </c:pt>
                <c:pt idx="5">
                  <c:v>2022/2023</c:v>
                </c:pt>
                <c:pt idx="6">
                  <c:v>2023/2024</c:v>
                </c:pt>
              </c:strCache>
            </c:strRef>
          </c:cat>
          <c:val>
            <c:numRef>
              <c:f>'PS5.05_Ind02'!$C$14:$I$14</c:f>
              <c:numCache>
                <c:formatCode>General</c:formatCode>
                <c:ptCount val="7"/>
                <c:pt idx="0">
                  <c:v>11.19</c:v>
                </c:pt>
                <c:pt idx="1">
                  <c:v>8.0500000000000007</c:v>
                </c:pt>
                <c:pt idx="2">
                  <c:v>3.94</c:v>
                </c:pt>
                <c:pt idx="3">
                  <c:v>5.72</c:v>
                </c:pt>
                <c:pt idx="4">
                  <c:v>1</c:v>
                </c:pt>
                <c:pt idx="5">
                  <c:v>3.8</c:v>
                </c:pt>
                <c:pt idx="6">
                  <c:v>9</c:v>
                </c:pt>
              </c:numCache>
            </c:numRef>
          </c:val>
          <c:extLst>
            <c:ext xmlns:c16="http://schemas.microsoft.com/office/drawing/2014/chart" uri="{C3380CC4-5D6E-409C-BE32-E72D297353CC}">
              <c16:uniqueId val="{00000001-CE11-46CE-98FA-4F981551B434}"/>
            </c:ext>
          </c:extLst>
        </c:ser>
        <c:dLbls>
          <c:showLegendKey val="0"/>
          <c:showVal val="0"/>
          <c:showCatName val="0"/>
          <c:showSerName val="0"/>
          <c:showPercent val="0"/>
          <c:showBubbleSize val="0"/>
        </c:dLbls>
        <c:gapWidth val="219"/>
        <c:axId val="2000471648"/>
        <c:axId val="1680304640"/>
      </c:barChart>
      <c:lineChart>
        <c:grouping val="standard"/>
        <c:varyColors val="0"/>
        <c:ser>
          <c:idx val="2"/>
          <c:order val="2"/>
          <c:tx>
            <c:strRef>
              <c:f>'PS5.05_Ind02'!$B$15</c:f>
              <c:strCache>
                <c:ptCount val="1"/>
                <c:pt idx="0">
                  <c:v>Valor objectiu</c:v>
                </c:pt>
              </c:strCache>
            </c:strRef>
          </c:tx>
          <c:spPr>
            <a:ln w="34925" cap="rnd">
              <a:solidFill>
                <a:schemeClr val="accent6"/>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cat>
            <c:strRef>
              <c:f>'PS5.05_Ind02'!$C$13:$I$13</c:f>
              <c:strCache>
                <c:ptCount val="7"/>
                <c:pt idx="0">
                  <c:v>2017/2018</c:v>
                </c:pt>
                <c:pt idx="1">
                  <c:v>2018/2019</c:v>
                </c:pt>
                <c:pt idx="2">
                  <c:v>2019/2020</c:v>
                </c:pt>
                <c:pt idx="3">
                  <c:v>2020/2021</c:v>
                </c:pt>
                <c:pt idx="4">
                  <c:v>2021/2022</c:v>
                </c:pt>
                <c:pt idx="5">
                  <c:v>2022/2023</c:v>
                </c:pt>
                <c:pt idx="6">
                  <c:v>2023/2024</c:v>
                </c:pt>
              </c:strCache>
            </c:strRef>
          </c:cat>
          <c:val>
            <c:numRef>
              <c:f>'PS5.05_Ind02'!$C$15:$I$15</c:f>
              <c:numCache>
                <c:formatCode>General</c:formatCode>
                <c:ptCount val="7"/>
                <c:pt idx="0">
                  <c:v>15</c:v>
                </c:pt>
                <c:pt idx="1">
                  <c:v>15</c:v>
                </c:pt>
                <c:pt idx="2">
                  <c:v>15</c:v>
                </c:pt>
                <c:pt idx="3">
                  <c:v>15</c:v>
                </c:pt>
                <c:pt idx="4">
                  <c:v>15</c:v>
                </c:pt>
                <c:pt idx="5">
                  <c:v>15</c:v>
                </c:pt>
                <c:pt idx="6">
                  <c:v>15</c:v>
                </c:pt>
              </c:numCache>
            </c:numRef>
          </c:val>
          <c:smooth val="0"/>
          <c:extLst>
            <c:ext xmlns:c16="http://schemas.microsoft.com/office/drawing/2014/chart" uri="{C3380CC4-5D6E-409C-BE32-E72D297353CC}">
              <c16:uniqueId val="{00000002-CE11-46CE-98FA-4F981551B434}"/>
            </c:ext>
          </c:extLst>
        </c:ser>
        <c:dLbls>
          <c:showLegendKey val="0"/>
          <c:showVal val="0"/>
          <c:showCatName val="0"/>
          <c:showSerName val="0"/>
          <c:showPercent val="0"/>
          <c:showBubbleSize val="0"/>
        </c:dLbls>
        <c:marker val="1"/>
        <c:smooth val="0"/>
        <c:axId val="2000471648"/>
        <c:axId val="1680304640"/>
      </c:lineChart>
      <c:catAx>
        <c:axId val="20004716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80304640"/>
        <c:crosses val="autoZero"/>
        <c:auto val="1"/>
        <c:lblAlgn val="ctr"/>
        <c:lblOffset val="100"/>
        <c:noMultiLvlLbl val="0"/>
      </c:catAx>
      <c:valAx>
        <c:axId val="1680304640"/>
        <c:scaling>
          <c:orientation val="minMax"/>
          <c:max val="25"/>
          <c:min val="0"/>
        </c:scaling>
        <c:delete val="0"/>
        <c:axPos val="l"/>
        <c:majorGridlines>
          <c:spPr>
            <a:ln w="9525" cap="flat" cmpd="sng" algn="ctr">
              <a:solidFill>
                <a:schemeClr val="lt1">
                  <a:lumMod val="95000"/>
                  <a:alpha val="1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00471648"/>
        <c:crosses val="autoZero"/>
        <c:crossBetween val="between"/>
        <c:minorUnit val="1"/>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PS05_05-Ind-03. Valoració mitjana a la pregunta “He rebut resposta adequada a les meves queixes i suggeriments</a:t>
            </a:r>
            <a:r>
              <a:rPr lang="ca-ES" sz="1800" b="1">
                <a:effectLst/>
              </a:rPr>
              <a:t>”</a:t>
            </a:r>
            <a:endParaRPr lang="ca-ES" sz="18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'PS5.05_Ind03 '!$B$32</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'!$C$32:$E$32</c:f>
              <c:numCache>
                <c:formatCode>General</c:formatCode>
                <c:ptCount val="3"/>
              </c:numCache>
              <c:extLst/>
            </c:numRef>
          </c:val>
          <c:extLst>
            <c:ext xmlns:c16="http://schemas.microsoft.com/office/drawing/2014/chart" uri="{C3380CC4-5D6E-409C-BE32-E72D297353CC}">
              <c16:uniqueId val="{00000000-0E05-4815-BB60-0356764533B8}"/>
            </c:ext>
          </c:extLst>
        </c:ser>
        <c:ser>
          <c:idx val="1"/>
          <c:order val="1"/>
          <c:tx>
            <c:strRef>
              <c:f>'PS5.05_Ind03 '!$B$16:$C$16</c:f>
              <c:strCache>
                <c:ptCount val="2"/>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'!$F$16:$I$16</c:f>
              <c:numCache>
                <c:formatCode>0.00</c:formatCode>
                <c:ptCount val="4"/>
                <c:pt idx="0">
                  <c:v>3.43</c:v>
                </c:pt>
                <c:pt idx="1">
                  <c:v>3.6</c:v>
                </c:pt>
                <c:pt idx="2">
                  <c:v>3.76</c:v>
                </c:pt>
                <c:pt idx="3">
                  <c:v>3.33</c:v>
                </c:pt>
              </c:numCache>
              <c:extLst/>
            </c:numRef>
          </c:val>
          <c:extLst>
            <c:ext xmlns:c16="http://schemas.microsoft.com/office/drawing/2014/chart" uri="{C3380CC4-5D6E-409C-BE32-E72D297353CC}">
              <c16:uniqueId val="{00000001-0E05-4815-BB60-0356764533B8}"/>
            </c:ext>
          </c:extLst>
        </c:ser>
        <c:ser>
          <c:idx val="2"/>
          <c:order val="2"/>
          <c:tx>
            <c:strRef>
              <c:f>'PS5.05_Ind03 '!$B$17:$C$17</c:f>
              <c:strCache>
                <c:ptCount val="2"/>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'!$F$17:$I$17</c:f>
              <c:numCache>
                <c:formatCode>0.00</c:formatCode>
                <c:ptCount val="4"/>
                <c:pt idx="0">
                  <c:v>3.2</c:v>
                </c:pt>
                <c:pt idx="1">
                  <c:v>3</c:v>
                </c:pt>
                <c:pt idx="2">
                  <c:v>2.86</c:v>
                </c:pt>
                <c:pt idx="3">
                  <c:v>2.5</c:v>
                </c:pt>
              </c:numCache>
              <c:extLst/>
            </c:numRef>
          </c:val>
          <c:extLst>
            <c:ext xmlns:c16="http://schemas.microsoft.com/office/drawing/2014/chart" uri="{C3380CC4-5D6E-409C-BE32-E72D297353CC}">
              <c16:uniqueId val="{00000002-0E05-4815-BB60-0356764533B8}"/>
            </c:ext>
          </c:extLst>
        </c:ser>
        <c:ser>
          <c:idx val="3"/>
          <c:order val="3"/>
          <c:tx>
            <c:strRef>
              <c:f>'PS5.05_Ind03 '!$B$18:$C$18</c:f>
              <c:strCache>
                <c:ptCount val="2"/>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'!$F$18:$I$18</c:f>
              <c:numCache>
                <c:formatCode>0.00</c:formatCode>
                <c:ptCount val="4"/>
                <c:pt idx="0">
                  <c:v>3.33</c:v>
                </c:pt>
                <c:pt idx="1">
                  <c:v>2</c:v>
                </c:pt>
                <c:pt idx="2">
                  <c:v>4.17</c:v>
                </c:pt>
                <c:pt idx="3">
                  <c:v>3</c:v>
                </c:pt>
              </c:numCache>
              <c:extLst/>
            </c:numRef>
          </c:val>
          <c:extLst>
            <c:ext xmlns:c16="http://schemas.microsoft.com/office/drawing/2014/chart" uri="{C3380CC4-5D6E-409C-BE32-E72D297353CC}">
              <c16:uniqueId val="{00000003-0E05-4815-BB60-0356764533B8}"/>
            </c:ext>
          </c:extLst>
        </c:ser>
        <c:ser>
          <c:idx val="4"/>
          <c:order val="4"/>
          <c:tx>
            <c:strRef>
              <c:f>'PS5.05_Ind03 '!$B$19:$C$19</c:f>
              <c:strCache>
                <c:ptCount val="2"/>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'!$F$19:$I$19</c:f>
              <c:numCache>
                <c:formatCode>0.00</c:formatCode>
                <c:ptCount val="4"/>
                <c:pt idx="0">
                  <c:v>3.46</c:v>
                </c:pt>
                <c:pt idx="1">
                  <c:v>2.33</c:v>
                </c:pt>
                <c:pt idx="2">
                  <c:v>3.52</c:v>
                </c:pt>
                <c:pt idx="3">
                  <c:v>3.25</c:v>
                </c:pt>
              </c:numCache>
              <c:extLst/>
            </c:numRef>
          </c:val>
          <c:extLst>
            <c:ext xmlns:c16="http://schemas.microsoft.com/office/drawing/2014/chart" uri="{C3380CC4-5D6E-409C-BE32-E72D297353CC}">
              <c16:uniqueId val="{00000004-0E05-4815-BB60-0356764533B8}"/>
            </c:ext>
          </c:extLst>
        </c:ser>
        <c:ser>
          <c:idx val="5"/>
          <c:order val="5"/>
          <c:tx>
            <c:strRef>
              <c:f>'PS5.05_Ind03 '!$B$20:$C$20</c:f>
              <c:strCache>
                <c:ptCount val="2"/>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'!$F$20:$I$20</c:f>
              <c:numCache>
                <c:formatCode>0.00</c:formatCode>
                <c:ptCount val="4"/>
                <c:pt idx="0">
                  <c:v>0</c:v>
                </c:pt>
                <c:pt idx="1">
                  <c:v>4</c:v>
                </c:pt>
                <c:pt idx="2">
                  <c:v>3.56</c:v>
                </c:pt>
                <c:pt idx="3">
                  <c:v>2.71</c:v>
                </c:pt>
              </c:numCache>
              <c:extLst/>
            </c:numRef>
          </c:val>
          <c:extLst>
            <c:ext xmlns:c16="http://schemas.microsoft.com/office/drawing/2014/chart" uri="{C3380CC4-5D6E-409C-BE32-E72D297353CC}">
              <c16:uniqueId val="{00000005-0E05-4815-BB60-0356764533B8}"/>
            </c:ext>
          </c:extLst>
        </c:ser>
        <c:ser>
          <c:idx val="6"/>
          <c:order val="6"/>
          <c:tx>
            <c:strRef>
              <c:f>'PS5.05_Ind03 '!$B$21:$C$21</c:f>
              <c:strCache>
                <c:ptCount val="2"/>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'!$F$21:$I$21</c:f>
              <c:numCache>
                <c:formatCode>0.00</c:formatCode>
                <c:ptCount val="4"/>
                <c:pt idx="0">
                  <c:v>0</c:v>
                </c:pt>
                <c:pt idx="1">
                  <c:v>3.25</c:v>
                </c:pt>
                <c:pt idx="2">
                  <c:v>4</c:v>
                </c:pt>
                <c:pt idx="3">
                  <c:v>3.2</c:v>
                </c:pt>
              </c:numCache>
              <c:extLst/>
            </c:numRef>
          </c:val>
          <c:extLst>
            <c:ext xmlns:c16="http://schemas.microsoft.com/office/drawing/2014/chart" uri="{C3380CC4-5D6E-409C-BE32-E72D297353CC}">
              <c16:uniqueId val="{00000006-0E05-4815-BB60-0356764533B8}"/>
            </c:ext>
          </c:extLst>
        </c:ser>
        <c:ser>
          <c:idx val="7"/>
          <c:order val="7"/>
          <c:tx>
            <c:strRef>
              <c:f>'PS5.05_Ind03 '!$B$22:$C$22</c:f>
              <c:strCache>
                <c:ptCount val="2"/>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'!$F$22:$I$22</c:f>
              <c:numCache>
                <c:formatCode>0.00</c:formatCode>
                <c:ptCount val="4"/>
                <c:pt idx="0">
                  <c:v>0</c:v>
                </c:pt>
                <c:pt idx="1">
                  <c:v>0</c:v>
                </c:pt>
                <c:pt idx="2">
                  <c:v>3.71</c:v>
                </c:pt>
                <c:pt idx="3">
                  <c:v>0</c:v>
                </c:pt>
              </c:numCache>
              <c:extLst/>
            </c:numRef>
          </c:val>
          <c:extLst>
            <c:ext xmlns:c16="http://schemas.microsoft.com/office/drawing/2014/chart" uri="{C3380CC4-5D6E-409C-BE32-E72D297353CC}">
              <c16:uniqueId val="{00000007-0E05-4815-BB60-0356764533B8}"/>
            </c:ext>
          </c:extLst>
        </c:ser>
        <c:ser>
          <c:idx val="8"/>
          <c:order val="8"/>
          <c:tx>
            <c:strRef>
              <c:f>'PS5.05_Ind03 '!$B$24:$C$24</c:f>
              <c:strCache>
                <c:ptCount val="2"/>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'!$F$24:$I$24</c:f>
              <c:numCache>
                <c:formatCode>0.00</c:formatCode>
                <c:ptCount val="4"/>
                <c:pt idx="0">
                  <c:v>3</c:v>
                </c:pt>
                <c:pt idx="1">
                  <c:v>1.8</c:v>
                </c:pt>
                <c:pt idx="2">
                  <c:v>4.17</c:v>
                </c:pt>
                <c:pt idx="3">
                  <c:v>3.42</c:v>
                </c:pt>
              </c:numCache>
              <c:extLst/>
            </c:numRef>
          </c:val>
          <c:extLst>
            <c:ext xmlns:c16="http://schemas.microsoft.com/office/drawing/2014/chart" uri="{C3380CC4-5D6E-409C-BE32-E72D297353CC}">
              <c16:uniqueId val="{00000008-0E05-4815-BB60-0356764533B8}"/>
            </c:ext>
          </c:extLst>
        </c:ser>
        <c:ser>
          <c:idx val="9"/>
          <c:order val="9"/>
          <c:tx>
            <c:strRef>
              <c:f>'PS5.05_Ind03 '!#REF!</c:f>
              <c:strCache>
                <c:ptCount val="1"/>
                <c:pt idx="0">
                  <c:v>#REF!</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'!#REF!</c:f>
              <c:numCache>
                <c:formatCode>General</c:formatCode>
                <c:ptCount val="1"/>
                <c:pt idx="0">
                  <c:v>1</c:v>
                </c:pt>
              </c:numCache>
            </c:numRef>
          </c:val>
          <c:extLst>
            <c:ext xmlns:c16="http://schemas.microsoft.com/office/drawing/2014/chart" uri="{C3380CC4-5D6E-409C-BE32-E72D297353CC}">
              <c16:uniqueId val="{00000009-0E05-4815-BB60-0356764533B8}"/>
            </c:ext>
          </c:extLst>
        </c:ser>
        <c:ser>
          <c:idx val="10"/>
          <c:order val="10"/>
          <c:tx>
            <c:strRef>
              <c:f>'PS5.05_Ind03 '!$B$25:$C$25</c:f>
              <c:strCache>
                <c:ptCount val="2"/>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'!$F$25:$I$25</c:f>
              <c:numCache>
                <c:formatCode>0.00</c:formatCode>
                <c:ptCount val="4"/>
                <c:pt idx="0">
                  <c:v>3</c:v>
                </c:pt>
                <c:pt idx="1">
                  <c:v>3</c:v>
                </c:pt>
                <c:pt idx="2">
                  <c:v>3.82</c:v>
                </c:pt>
                <c:pt idx="3">
                  <c:v>2.93</c:v>
                </c:pt>
              </c:numCache>
              <c:extLst/>
            </c:numRef>
          </c:val>
          <c:extLst>
            <c:ext xmlns:c16="http://schemas.microsoft.com/office/drawing/2014/chart" uri="{C3380CC4-5D6E-409C-BE32-E72D297353CC}">
              <c16:uniqueId val="{0000000A-0E05-4815-BB60-0356764533B8}"/>
            </c:ext>
          </c:extLst>
        </c:ser>
        <c:ser>
          <c:idx val="11"/>
          <c:order val="11"/>
          <c:tx>
            <c:strRef>
              <c:f>'PS5.05_Ind03 '!$B$26:$C$26</c:f>
              <c:strCache>
                <c:ptCount val="2"/>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'!$F$26:$I$26</c:f>
              <c:numCache>
                <c:formatCode>0.00</c:formatCode>
                <c:ptCount val="4"/>
                <c:pt idx="0">
                  <c:v>2.58</c:v>
                </c:pt>
                <c:pt idx="1">
                  <c:v>3.25</c:v>
                </c:pt>
                <c:pt idx="2">
                  <c:v>3.58</c:v>
                </c:pt>
                <c:pt idx="3">
                  <c:v>3.07</c:v>
                </c:pt>
              </c:numCache>
              <c:extLst/>
            </c:numRef>
          </c:val>
          <c:extLst>
            <c:ext xmlns:c16="http://schemas.microsoft.com/office/drawing/2014/chart" uri="{C3380CC4-5D6E-409C-BE32-E72D297353CC}">
              <c16:uniqueId val="{0000000B-0E05-4815-BB60-0356764533B8}"/>
            </c:ext>
          </c:extLst>
        </c:ser>
        <c:dLbls>
          <c:showLegendKey val="0"/>
          <c:showVal val="0"/>
          <c:showCatName val="0"/>
          <c:showSerName val="0"/>
          <c:showPercent val="0"/>
          <c:showBubbleSize val="0"/>
        </c:dLbls>
        <c:gapWidth val="100"/>
        <c:axId val="1617585008"/>
        <c:axId val="1425303376"/>
      </c:barChart>
      <c:lineChart>
        <c:grouping val="standard"/>
        <c:varyColors val="0"/>
        <c:ser>
          <c:idx val="12"/>
          <c:order val="12"/>
          <c:tx>
            <c:strRef>
              <c:f>'PS5.05_Ind03 '!$F$29:$I$29</c:f>
              <c:strCache>
                <c:ptCount val="4"/>
                <c:pt idx="0">
                  <c:v>3,00</c:v>
                </c:pt>
                <c:pt idx="1">
                  <c:v>3,00</c:v>
                </c:pt>
                <c:pt idx="2">
                  <c:v>3,00</c:v>
                </c:pt>
                <c:pt idx="3">
                  <c:v>3,00</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9525">
                <a:solidFill>
                  <a:schemeClr val="accent1">
                    <a:lumMod val="80000"/>
                    <a:lumOff val="20000"/>
                  </a:schemeClr>
                </a:solidFill>
                <a:round/>
              </a:ln>
              <a:effectLst>
                <a:outerShdw blurRad="57150" dist="19050" dir="5400000" algn="ctr" rotWithShape="0">
                  <a:srgbClr val="000000">
                    <a:alpha val="63000"/>
                  </a:srgbClr>
                </a:outerShdw>
              </a:effectLst>
            </c:spPr>
          </c:marker>
          <c:cat>
            <c:strRef>
              <c:f>'PS5.05_Ind03 '!$F$15:$I$15</c:f>
              <c:strCache>
                <c:ptCount val="4"/>
                <c:pt idx="0">
                  <c:v>2019/2020</c:v>
                </c:pt>
                <c:pt idx="1">
                  <c:v>2020/2021</c:v>
                </c:pt>
                <c:pt idx="2">
                  <c:v>2021/2022</c:v>
                </c:pt>
                <c:pt idx="3">
                  <c:v>2022/2023</c:v>
                </c:pt>
              </c:strCache>
              <c:extLst/>
            </c:strRef>
          </c:cat>
          <c:val>
            <c:numRef>
              <c:f>'PS5.05_Ind03 '!$D$29:$G$29</c:f>
              <c:numCache>
                <c:formatCode>0.00</c:formatCode>
                <c:ptCount val="4"/>
                <c:pt idx="0">
                  <c:v>3</c:v>
                </c:pt>
                <c:pt idx="1">
                  <c:v>3</c:v>
                </c:pt>
                <c:pt idx="2">
                  <c:v>3</c:v>
                </c:pt>
                <c:pt idx="3">
                  <c:v>3</c:v>
                </c:pt>
              </c:numCache>
              <c:extLst/>
            </c:numRef>
          </c:val>
          <c:smooth val="0"/>
          <c:extLst>
            <c:ext xmlns:c16="http://schemas.microsoft.com/office/drawing/2014/chart" uri="{C3380CC4-5D6E-409C-BE32-E72D297353CC}">
              <c16:uniqueId val="{0000000C-0E05-4815-BB60-0356764533B8}"/>
            </c:ext>
          </c:extLst>
        </c:ser>
        <c:dLbls>
          <c:showLegendKey val="0"/>
          <c:showVal val="0"/>
          <c:showCatName val="0"/>
          <c:showSerName val="0"/>
          <c:showPercent val="0"/>
          <c:showBubbleSize val="0"/>
        </c:dLbls>
        <c:marker val="1"/>
        <c:smooth val="0"/>
        <c:axId val="1617585008"/>
        <c:axId val="1425303376"/>
      </c:lineChart>
      <c:catAx>
        <c:axId val="1617585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25303376"/>
        <c:crosses val="autoZero"/>
        <c:auto val="1"/>
        <c:lblAlgn val="ctr"/>
        <c:lblOffset val="100"/>
        <c:noMultiLvlLbl val="0"/>
      </c:catAx>
      <c:valAx>
        <c:axId val="14253033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17585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PS5.06_Ind02</a:t>
            </a:r>
            <a:r>
              <a:rPr lang="ca-ES" sz="1200">
                <a:effectLst/>
              </a:rPr>
              <a:t>. </a:t>
            </a:r>
            <a:r>
              <a:rPr lang="ca-ES" sz="1200" b="1">
                <a:effectLst/>
              </a:rPr>
              <a:t>Valoració mitjana a la pregunta: "La informació referent a la titulació al web és accessible i m’ha resultat útil".</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'PS5.06_Ind01   '!$B$31</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'!$C$31:$E$31</c:f>
              <c:numCache>
                <c:formatCode>General</c:formatCode>
                <c:ptCount val="3"/>
              </c:numCache>
            </c:numRef>
          </c:val>
          <c:extLst>
            <c:ext xmlns:c16="http://schemas.microsoft.com/office/drawing/2014/chart" uri="{C3380CC4-5D6E-409C-BE32-E72D297353CC}">
              <c16:uniqueId val="{00000000-2392-43AD-B635-30F8C6905D68}"/>
            </c:ext>
          </c:extLst>
        </c:ser>
        <c:ser>
          <c:idx val="1"/>
          <c:order val="1"/>
          <c:tx>
            <c:strRef>
              <c:f>'PS5.06_Ind01   '!$B$15:$C$15</c:f>
              <c:strCache>
                <c:ptCount val="2"/>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'!$F$15:$I$15</c:f>
              <c:numCache>
                <c:formatCode>0.00</c:formatCode>
                <c:ptCount val="4"/>
                <c:pt idx="0">
                  <c:v>3.75</c:v>
                </c:pt>
                <c:pt idx="1">
                  <c:v>4.2</c:v>
                </c:pt>
                <c:pt idx="2">
                  <c:v>3.53</c:v>
                </c:pt>
                <c:pt idx="3">
                  <c:v>3.92</c:v>
                </c:pt>
              </c:numCache>
            </c:numRef>
          </c:val>
          <c:extLst>
            <c:ext xmlns:c16="http://schemas.microsoft.com/office/drawing/2014/chart" uri="{C3380CC4-5D6E-409C-BE32-E72D297353CC}">
              <c16:uniqueId val="{00000001-2392-43AD-B635-30F8C6905D68}"/>
            </c:ext>
          </c:extLst>
        </c:ser>
        <c:ser>
          <c:idx val="2"/>
          <c:order val="2"/>
          <c:tx>
            <c:strRef>
              <c:f>'PS5.06_Ind01   '!$B$16:$C$16</c:f>
              <c:strCache>
                <c:ptCount val="2"/>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'!$F$16:$I$16</c:f>
              <c:numCache>
                <c:formatCode>0.00</c:formatCode>
                <c:ptCount val="4"/>
                <c:pt idx="0">
                  <c:v>3.6</c:v>
                </c:pt>
                <c:pt idx="1">
                  <c:v>4</c:v>
                </c:pt>
                <c:pt idx="2">
                  <c:v>3.71</c:v>
                </c:pt>
                <c:pt idx="3">
                  <c:v>3.29</c:v>
                </c:pt>
              </c:numCache>
            </c:numRef>
          </c:val>
          <c:extLst>
            <c:ext xmlns:c16="http://schemas.microsoft.com/office/drawing/2014/chart" uri="{C3380CC4-5D6E-409C-BE32-E72D297353CC}">
              <c16:uniqueId val="{00000002-2392-43AD-B635-30F8C6905D68}"/>
            </c:ext>
          </c:extLst>
        </c:ser>
        <c:ser>
          <c:idx val="3"/>
          <c:order val="3"/>
          <c:tx>
            <c:strRef>
              <c:f>'PS5.06_Ind01   '!$B$17:$C$17</c:f>
              <c:strCache>
                <c:ptCount val="2"/>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'!$F$17:$I$17</c:f>
              <c:numCache>
                <c:formatCode>0.00</c:formatCode>
                <c:ptCount val="4"/>
                <c:pt idx="0">
                  <c:v>4.17</c:v>
                </c:pt>
                <c:pt idx="1">
                  <c:v>2</c:v>
                </c:pt>
                <c:pt idx="2">
                  <c:v>4.33</c:v>
                </c:pt>
                <c:pt idx="3">
                  <c:v>3.78</c:v>
                </c:pt>
              </c:numCache>
            </c:numRef>
          </c:val>
          <c:extLst>
            <c:ext xmlns:c16="http://schemas.microsoft.com/office/drawing/2014/chart" uri="{C3380CC4-5D6E-409C-BE32-E72D297353CC}">
              <c16:uniqueId val="{00000003-2392-43AD-B635-30F8C6905D68}"/>
            </c:ext>
          </c:extLst>
        </c:ser>
        <c:ser>
          <c:idx val="4"/>
          <c:order val="4"/>
          <c:tx>
            <c:strRef>
              <c:f>'PS5.06_Ind01   '!$B$18:$C$18</c:f>
              <c:strCache>
                <c:ptCount val="2"/>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'!$F$18:$I$18</c:f>
              <c:numCache>
                <c:formatCode>0.00</c:formatCode>
                <c:ptCount val="4"/>
                <c:pt idx="0">
                  <c:v>3.85</c:v>
                </c:pt>
                <c:pt idx="1">
                  <c:v>3</c:v>
                </c:pt>
                <c:pt idx="2">
                  <c:v>3.86</c:v>
                </c:pt>
                <c:pt idx="3">
                  <c:v>4.07</c:v>
                </c:pt>
              </c:numCache>
            </c:numRef>
          </c:val>
          <c:extLst>
            <c:ext xmlns:c16="http://schemas.microsoft.com/office/drawing/2014/chart" uri="{C3380CC4-5D6E-409C-BE32-E72D297353CC}">
              <c16:uniqueId val="{00000004-2392-43AD-B635-30F8C6905D68}"/>
            </c:ext>
          </c:extLst>
        </c:ser>
        <c:ser>
          <c:idx val="5"/>
          <c:order val="5"/>
          <c:tx>
            <c:strRef>
              <c:f>'PS5.06_Ind01   '!$B$19:$C$19</c:f>
              <c:strCache>
                <c:ptCount val="2"/>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'!$F$19:$I$19</c:f>
              <c:numCache>
                <c:formatCode>0.00</c:formatCode>
                <c:ptCount val="4"/>
                <c:pt idx="0">
                  <c:v>0</c:v>
                </c:pt>
                <c:pt idx="1">
                  <c:v>4</c:v>
                </c:pt>
                <c:pt idx="2">
                  <c:v>4.1100000000000003</c:v>
                </c:pt>
                <c:pt idx="3">
                  <c:v>4</c:v>
                </c:pt>
              </c:numCache>
            </c:numRef>
          </c:val>
          <c:extLst>
            <c:ext xmlns:c16="http://schemas.microsoft.com/office/drawing/2014/chart" uri="{C3380CC4-5D6E-409C-BE32-E72D297353CC}">
              <c16:uniqueId val="{00000005-2392-43AD-B635-30F8C6905D68}"/>
            </c:ext>
          </c:extLst>
        </c:ser>
        <c:ser>
          <c:idx val="6"/>
          <c:order val="6"/>
          <c:tx>
            <c:strRef>
              <c:f>'PS5.06_Ind01   '!$B$20:$C$20</c:f>
              <c:strCache>
                <c:ptCount val="2"/>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'!$F$20:$I$20</c:f>
              <c:numCache>
                <c:formatCode>0.00</c:formatCode>
                <c:ptCount val="4"/>
                <c:pt idx="0">
                  <c:v>0</c:v>
                </c:pt>
                <c:pt idx="1">
                  <c:v>3.5</c:v>
                </c:pt>
                <c:pt idx="2">
                  <c:v>3.88</c:v>
                </c:pt>
                <c:pt idx="3">
                  <c:v>4.17</c:v>
                </c:pt>
              </c:numCache>
            </c:numRef>
          </c:val>
          <c:extLst>
            <c:ext xmlns:c16="http://schemas.microsoft.com/office/drawing/2014/chart" uri="{C3380CC4-5D6E-409C-BE32-E72D297353CC}">
              <c16:uniqueId val="{00000006-2392-43AD-B635-30F8C6905D68}"/>
            </c:ext>
          </c:extLst>
        </c:ser>
        <c:ser>
          <c:idx val="7"/>
          <c:order val="7"/>
          <c:tx>
            <c:strRef>
              <c:f>'PS5.06_Ind01   '!$B$21:$C$21</c:f>
              <c:strCache>
                <c:ptCount val="2"/>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'!$F$21:$I$21</c:f>
              <c:numCache>
                <c:formatCode>0.00</c:formatCode>
                <c:ptCount val="4"/>
                <c:pt idx="0">
                  <c:v>0</c:v>
                </c:pt>
                <c:pt idx="1">
                  <c:v>0</c:v>
                </c:pt>
                <c:pt idx="2">
                  <c:v>3.67</c:v>
                </c:pt>
                <c:pt idx="3">
                  <c:v>0</c:v>
                </c:pt>
              </c:numCache>
            </c:numRef>
          </c:val>
          <c:extLst>
            <c:ext xmlns:c16="http://schemas.microsoft.com/office/drawing/2014/chart" uri="{C3380CC4-5D6E-409C-BE32-E72D297353CC}">
              <c16:uniqueId val="{00000007-2392-43AD-B635-30F8C6905D68}"/>
            </c:ext>
          </c:extLst>
        </c:ser>
        <c:ser>
          <c:idx val="8"/>
          <c:order val="8"/>
          <c:tx>
            <c:strRef>
              <c:f>'PS5.06_Ind01   '!$B$22:$C$22</c:f>
              <c:strCache>
                <c:ptCount val="2"/>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'!$F$22:$I$22</c:f>
              <c:numCache>
                <c:formatCode>0.00</c:formatCode>
                <c:ptCount val="4"/>
                <c:pt idx="0">
                  <c:v>0</c:v>
                </c:pt>
                <c:pt idx="1">
                  <c:v>0</c:v>
                </c:pt>
                <c:pt idx="2">
                  <c:v>4.57</c:v>
                </c:pt>
                <c:pt idx="3">
                  <c:v>3.77</c:v>
                </c:pt>
              </c:numCache>
            </c:numRef>
          </c:val>
          <c:extLst>
            <c:ext xmlns:c16="http://schemas.microsoft.com/office/drawing/2014/chart" uri="{C3380CC4-5D6E-409C-BE32-E72D297353CC}">
              <c16:uniqueId val="{00000008-2392-43AD-B635-30F8C6905D68}"/>
            </c:ext>
          </c:extLst>
        </c:ser>
        <c:ser>
          <c:idx val="9"/>
          <c:order val="9"/>
          <c:tx>
            <c:strRef>
              <c:f>'PS5.06_Ind01   '!$B$23:$C$23</c:f>
              <c:strCache>
                <c:ptCount val="2"/>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'!$F$23:$I$23</c:f>
              <c:numCache>
                <c:formatCode>0.00</c:formatCode>
                <c:ptCount val="4"/>
                <c:pt idx="0">
                  <c:v>3</c:v>
                </c:pt>
                <c:pt idx="1">
                  <c:v>3.2</c:v>
                </c:pt>
                <c:pt idx="2">
                  <c:v>4.13</c:v>
                </c:pt>
                <c:pt idx="3">
                  <c:v>4.2300000000000004</c:v>
                </c:pt>
              </c:numCache>
            </c:numRef>
          </c:val>
          <c:extLst>
            <c:ext xmlns:c16="http://schemas.microsoft.com/office/drawing/2014/chart" uri="{C3380CC4-5D6E-409C-BE32-E72D297353CC}">
              <c16:uniqueId val="{00000009-2392-43AD-B635-30F8C6905D68}"/>
            </c:ext>
          </c:extLst>
        </c:ser>
        <c:ser>
          <c:idx val="10"/>
          <c:order val="10"/>
          <c:tx>
            <c:strRef>
              <c:f>'PS5.06_Ind01   '!$B$24:$C$24</c:f>
              <c:strCache>
                <c:ptCount val="2"/>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'!$F$24:$I$24</c:f>
              <c:numCache>
                <c:formatCode>0.00</c:formatCode>
                <c:ptCount val="4"/>
                <c:pt idx="0">
                  <c:v>3</c:v>
                </c:pt>
                <c:pt idx="1">
                  <c:v>3.5</c:v>
                </c:pt>
                <c:pt idx="2">
                  <c:v>3.91</c:v>
                </c:pt>
                <c:pt idx="3">
                  <c:v>3.4</c:v>
                </c:pt>
              </c:numCache>
            </c:numRef>
          </c:val>
          <c:extLst>
            <c:ext xmlns:c16="http://schemas.microsoft.com/office/drawing/2014/chart" uri="{C3380CC4-5D6E-409C-BE32-E72D297353CC}">
              <c16:uniqueId val="{0000000A-2392-43AD-B635-30F8C6905D68}"/>
            </c:ext>
          </c:extLst>
        </c:ser>
        <c:ser>
          <c:idx val="11"/>
          <c:order val="11"/>
          <c:tx>
            <c:strRef>
              <c:f>'PS5.06_Ind01   '!$B$25:$C$25</c:f>
              <c:strCache>
                <c:ptCount val="2"/>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'!$F$25:$I$25</c:f>
              <c:numCache>
                <c:formatCode>0.00</c:formatCode>
                <c:ptCount val="4"/>
                <c:pt idx="0">
                  <c:v>2.58</c:v>
                </c:pt>
                <c:pt idx="1">
                  <c:v>4</c:v>
                </c:pt>
                <c:pt idx="2">
                  <c:v>4</c:v>
                </c:pt>
                <c:pt idx="3">
                  <c:v>3.82</c:v>
                </c:pt>
              </c:numCache>
            </c:numRef>
          </c:val>
          <c:extLst>
            <c:ext xmlns:c16="http://schemas.microsoft.com/office/drawing/2014/chart" uri="{C3380CC4-5D6E-409C-BE32-E72D297353CC}">
              <c16:uniqueId val="{0000000B-2392-43AD-B635-30F8C6905D68}"/>
            </c:ext>
          </c:extLst>
        </c:ser>
        <c:dLbls>
          <c:showLegendKey val="0"/>
          <c:showVal val="0"/>
          <c:showCatName val="0"/>
          <c:showSerName val="0"/>
          <c:showPercent val="0"/>
          <c:showBubbleSize val="0"/>
        </c:dLbls>
        <c:gapWidth val="100"/>
        <c:axId val="1953499264"/>
        <c:axId val="1823809024"/>
      </c:barChart>
      <c:lineChart>
        <c:grouping val="standard"/>
        <c:varyColors val="0"/>
        <c:ser>
          <c:idx val="12"/>
          <c:order val="12"/>
          <c:tx>
            <c:strRef>
              <c:f>'PS5.06_Ind01   '!$B$28:$C$28</c:f>
              <c:strCache>
                <c:ptCount val="2"/>
                <c:pt idx="0">
                  <c:v>Valor objectiu</c:v>
                </c:pt>
              </c:strCache>
            </c:strRef>
          </c:tx>
          <c:spPr>
            <a:ln w="34925" cap="rnd">
              <a:solidFill>
                <a:schemeClr val="accent1">
                  <a:lumMod val="80000"/>
                  <a:lumOff val="20000"/>
                </a:schemeClr>
              </a:solidFill>
              <a:round/>
            </a:ln>
            <a:effectLst>
              <a:outerShdw blurRad="57150" dist="19050" dir="5400000" algn="ctr" rotWithShape="0">
                <a:srgbClr val="000000">
                  <a:alpha val="63000"/>
                </a:srgbClr>
              </a:outerShdw>
            </a:effectLst>
          </c:spPr>
          <c:marker>
            <c:symbol val="none"/>
          </c:marker>
          <c:cat>
            <c:strRef>
              <c:f>'PS5.06_Ind01   '!$F$14:$I$14</c:f>
              <c:strCache>
                <c:ptCount val="4"/>
                <c:pt idx="0">
                  <c:v>2019/2020</c:v>
                </c:pt>
                <c:pt idx="1">
                  <c:v>2020/2021</c:v>
                </c:pt>
                <c:pt idx="2">
                  <c:v>2021/2022</c:v>
                </c:pt>
                <c:pt idx="3">
                  <c:v>2022/2023</c:v>
                </c:pt>
              </c:strCache>
            </c:strRef>
          </c:cat>
          <c:val>
            <c:numRef>
              <c:f>'PS5.06_Ind01   '!$F$28:$I$28</c:f>
              <c:numCache>
                <c:formatCode>0.00</c:formatCode>
                <c:ptCount val="4"/>
                <c:pt idx="0">
                  <c:v>3.5</c:v>
                </c:pt>
                <c:pt idx="1">
                  <c:v>3.5</c:v>
                </c:pt>
                <c:pt idx="2">
                  <c:v>3.5</c:v>
                </c:pt>
                <c:pt idx="3">
                  <c:v>3.5</c:v>
                </c:pt>
              </c:numCache>
            </c:numRef>
          </c:val>
          <c:smooth val="0"/>
          <c:extLst>
            <c:ext xmlns:c16="http://schemas.microsoft.com/office/drawing/2014/chart" uri="{C3380CC4-5D6E-409C-BE32-E72D297353CC}">
              <c16:uniqueId val="{0000000C-2392-43AD-B635-30F8C6905D68}"/>
            </c:ext>
          </c:extLst>
        </c:ser>
        <c:dLbls>
          <c:showLegendKey val="0"/>
          <c:showVal val="0"/>
          <c:showCatName val="0"/>
          <c:showSerName val="0"/>
          <c:showPercent val="0"/>
          <c:showBubbleSize val="0"/>
        </c:dLbls>
        <c:marker val="1"/>
        <c:smooth val="0"/>
        <c:axId val="1953499264"/>
        <c:axId val="1823809024"/>
      </c:lineChart>
      <c:catAx>
        <c:axId val="1953499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823809024"/>
        <c:crosses val="autoZero"/>
        <c:auto val="1"/>
        <c:lblAlgn val="ctr"/>
        <c:lblOffset val="100"/>
        <c:noMultiLvlLbl val="0"/>
      </c:catAx>
      <c:valAx>
        <c:axId val="18238090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53499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PE1.03_Ind01. Ràtio de places en primera opció</a:t>
            </a:r>
            <a:r>
              <a:rPr lang="en-US" baseline="0"/>
              <a:t> versus places ofertes, per curs acadèmic i titulació</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3.1636308010013686E-2"/>
          <c:y val="0.12147113460826396"/>
          <c:w val="0.84609006078907234"/>
          <c:h val="0.71521953313255371"/>
        </c:manualLayout>
      </c:layout>
      <c:barChart>
        <c:barDir val="col"/>
        <c:grouping val="clustered"/>
        <c:varyColors val="0"/>
        <c:ser>
          <c:idx val="1"/>
          <c:order val="0"/>
          <c:tx>
            <c:strRef>
              <c:f>'PE1.03_Ind01'!$B$16</c:f>
              <c:strCache>
                <c:ptCount val="1"/>
                <c:pt idx="0">
                  <c:v>Ciències Ambientals</c:v>
                </c:pt>
              </c:strCache>
              <c:extLst xmlns:c15="http://schemas.microsoft.com/office/drawing/2012/chart"/>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extLst xmlns:c15="http://schemas.microsoft.com/office/drawing/2012/chart"/>
            </c:strRef>
          </c:cat>
          <c:val>
            <c:numRef>
              <c:f>'PE1.03_Ind01'!$D$16:$J$16</c:f>
              <c:numCache>
                <c:formatCode>General</c:formatCode>
                <c:ptCount val="7"/>
                <c:pt idx="0">
                  <c:v>0.7</c:v>
                </c:pt>
                <c:pt idx="1">
                  <c:v>1.2</c:v>
                </c:pt>
                <c:pt idx="2">
                  <c:v>1</c:v>
                </c:pt>
                <c:pt idx="3">
                  <c:v>0.9</c:v>
                </c:pt>
                <c:pt idx="4">
                  <c:v>0.8</c:v>
                </c:pt>
                <c:pt idx="5">
                  <c:v>0.5</c:v>
                </c:pt>
                <c:pt idx="6">
                  <c:v>0.9</c:v>
                </c:pt>
              </c:numCache>
              <c:extLst xmlns:c15="http://schemas.microsoft.com/office/drawing/2012/chart"/>
            </c:numRef>
          </c:val>
          <c:extLst xmlns:c15="http://schemas.microsoft.com/office/drawing/2012/chart">
            <c:ext xmlns:c16="http://schemas.microsoft.com/office/drawing/2014/chart" uri="{C3380CC4-5D6E-409C-BE32-E72D297353CC}">
              <c16:uniqueId val="{00000003-BEBE-4EBD-873B-0C4A564A6B93}"/>
            </c:ext>
          </c:extLst>
        </c:ser>
        <c:ser>
          <c:idx val="2"/>
          <c:order val="1"/>
          <c:tx>
            <c:strRef>
              <c:f>'PE1.03_Ind01'!$B$17</c:f>
              <c:strCache>
                <c:ptCount val="1"/>
                <c:pt idx="0">
                  <c:v>Ciències Ambientals + Geologia</c:v>
                </c:pt>
              </c:strCache>
              <c:extLst xmlns:c15="http://schemas.microsoft.com/office/drawing/2012/chart"/>
            </c:strRef>
          </c:tx>
          <c:spPr>
            <a:solidFill>
              <a:schemeClr val="accent2">
                <a:lumMod val="40000"/>
                <a:lumOff val="60000"/>
              </a:schemeClr>
            </a:soli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'PE1.03_Ind01'!$D$17:$J$17</c:f>
              <c:numCache>
                <c:formatCode>General</c:formatCode>
                <c:ptCount val="7"/>
                <c:pt idx="0">
                  <c:v>1.2</c:v>
                </c:pt>
                <c:pt idx="1">
                  <c:v>1.1000000000000001</c:v>
                </c:pt>
                <c:pt idx="2">
                  <c:v>1</c:v>
                </c:pt>
                <c:pt idx="3">
                  <c:v>1.2</c:v>
                </c:pt>
                <c:pt idx="4">
                  <c:v>0.8</c:v>
                </c:pt>
                <c:pt idx="5">
                  <c:v>1.3</c:v>
                </c:pt>
                <c:pt idx="6">
                  <c:v>0.9</c:v>
                </c:pt>
              </c:numCache>
            </c:numRef>
          </c:val>
          <c:extLst xmlns:c15="http://schemas.microsoft.com/office/drawing/2012/chart">
            <c:ext xmlns:c16="http://schemas.microsoft.com/office/drawing/2014/chart" uri="{C3380CC4-5D6E-409C-BE32-E72D297353CC}">
              <c16:uniqueId val="{00000004-BEBE-4EBD-873B-0C4A564A6B93}"/>
            </c:ext>
          </c:extLst>
        </c:ser>
        <c:ser>
          <c:idx val="3"/>
          <c:order val="2"/>
          <c:tx>
            <c:strRef>
              <c:f>'PE1.03_Ind01'!$B$18</c:f>
              <c:strCache>
                <c:ptCount val="1"/>
                <c:pt idx="0">
                  <c:v>Estadística Aplicada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'PE1.03_Ind01'!$D$18:$J$18</c:f>
              <c:numCache>
                <c:formatCode>General</c:formatCode>
                <c:ptCount val="7"/>
                <c:pt idx="0">
                  <c:v>0.7</c:v>
                </c:pt>
                <c:pt idx="1">
                  <c:v>0.7</c:v>
                </c:pt>
                <c:pt idx="2">
                  <c:v>0.8</c:v>
                </c:pt>
                <c:pt idx="3">
                  <c:v>1.6</c:v>
                </c:pt>
                <c:pt idx="4">
                  <c:v>1.1000000000000001</c:v>
                </c:pt>
                <c:pt idx="5">
                  <c:v>1.1000000000000001</c:v>
                </c:pt>
                <c:pt idx="6">
                  <c:v>1.3</c:v>
                </c:pt>
              </c:numCache>
            </c:numRef>
          </c:val>
          <c:extLst>
            <c:ext xmlns:c16="http://schemas.microsoft.com/office/drawing/2014/chart" uri="{C3380CC4-5D6E-409C-BE32-E72D297353CC}">
              <c16:uniqueId val="{00000005-BEBE-4EBD-873B-0C4A564A6B93}"/>
            </c:ext>
          </c:extLst>
        </c:ser>
        <c:ser>
          <c:idx val="4"/>
          <c:order val="3"/>
          <c:tx>
            <c:strRef>
              <c:f>'PE1.03_Ind01'!$B$19</c:f>
              <c:strCache>
                <c:ptCount val="1"/>
                <c:pt idx="0">
                  <c:v>Física</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'PE1.03_Ind01'!$D$19:$J$19</c:f>
              <c:numCache>
                <c:formatCode>General</c:formatCode>
                <c:ptCount val="7"/>
                <c:pt idx="0">
                  <c:v>1.8</c:v>
                </c:pt>
                <c:pt idx="1">
                  <c:v>2.2000000000000002</c:v>
                </c:pt>
                <c:pt idx="2">
                  <c:v>2.1</c:v>
                </c:pt>
                <c:pt idx="3">
                  <c:v>2.4</c:v>
                </c:pt>
                <c:pt idx="4">
                  <c:v>2.2000000000000002</c:v>
                </c:pt>
                <c:pt idx="5">
                  <c:v>2.2999999999999998</c:v>
                </c:pt>
                <c:pt idx="6">
                  <c:v>1.8</c:v>
                </c:pt>
              </c:numCache>
            </c:numRef>
          </c:val>
          <c:extLst>
            <c:ext xmlns:c16="http://schemas.microsoft.com/office/drawing/2014/chart" uri="{C3380CC4-5D6E-409C-BE32-E72D297353CC}">
              <c16:uniqueId val="{00000006-BEBE-4EBD-873B-0C4A564A6B93}"/>
            </c:ext>
          </c:extLst>
        </c:ser>
        <c:ser>
          <c:idx val="5"/>
          <c:order val="4"/>
          <c:tx>
            <c:strRef>
              <c:f>'PE1.03_Ind01'!$B$20</c:f>
              <c:strCache>
                <c:ptCount val="1"/>
                <c:pt idx="0">
                  <c:v>Física + Matemàtiques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extLst xmlns:c15="http://schemas.microsoft.com/office/drawing/2012/chart"/>
            </c:strRef>
          </c:cat>
          <c:val>
            <c:numRef>
              <c:f>'PE1.03_Ind01'!$D$20:$J$20</c:f>
              <c:numCache>
                <c:formatCode>General</c:formatCode>
                <c:ptCount val="7"/>
                <c:pt idx="0">
                  <c:v>5.9</c:v>
                </c:pt>
                <c:pt idx="1">
                  <c:v>4.7</c:v>
                </c:pt>
                <c:pt idx="2">
                  <c:v>4</c:v>
                </c:pt>
                <c:pt idx="3">
                  <c:v>5</c:v>
                </c:pt>
                <c:pt idx="4">
                  <c:v>5.2</c:v>
                </c:pt>
                <c:pt idx="5">
                  <c:v>3.6</c:v>
                </c:pt>
                <c:pt idx="6">
                  <c:v>3.5</c:v>
                </c:pt>
              </c:numCache>
            </c:numRef>
          </c:val>
          <c:extLst xmlns:c15="http://schemas.microsoft.com/office/drawing/2012/chart">
            <c:ext xmlns:c16="http://schemas.microsoft.com/office/drawing/2014/chart" uri="{C3380CC4-5D6E-409C-BE32-E72D297353CC}">
              <c16:uniqueId val="{00000007-BEBE-4EBD-873B-0C4A564A6B93}"/>
            </c:ext>
          </c:extLst>
        </c:ser>
        <c:ser>
          <c:idx val="6"/>
          <c:order val="5"/>
          <c:tx>
            <c:strRef>
              <c:f>'PE1.03_Ind01'!$B$21</c:f>
              <c:strCache>
                <c:ptCount val="1"/>
                <c:pt idx="0">
                  <c:v>Física + Química</c:v>
                </c:pt>
              </c:strCache>
              <c:extLst xmlns:c15="http://schemas.microsoft.com/office/drawing/2012/chart"/>
            </c:strRef>
          </c:tx>
          <c:spPr>
            <a:solidFill>
              <a:schemeClr val="accent3">
                <a:lumMod val="60000"/>
                <a:lumOff val="40000"/>
              </a:schemeClr>
            </a:soli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extLst xmlns:c15="http://schemas.microsoft.com/office/drawing/2012/chart"/>
            </c:strRef>
          </c:cat>
          <c:val>
            <c:numRef>
              <c:f>'PE1.03_Ind01'!$D$21:$J$21</c:f>
              <c:numCache>
                <c:formatCode>General</c:formatCode>
                <c:ptCount val="7"/>
                <c:pt idx="0">
                  <c:v>1.9</c:v>
                </c:pt>
                <c:pt idx="1">
                  <c:v>1.8</c:v>
                </c:pt>
                <c:pt idx="2">
                  <c:v>1.9</c:v>
                </c:pt>
                <c:pt idx="3">
                  <c:v>1.9</c:v>
                </c:pt>
                <c:pt idx="4">
                  <c:v>2</c:v>
                </c:pt>
                <c:pt idx="5">
                  <c:v>1.5</c:v>
                </c:pt>
                <c:pt idx="6">
                  <c:v>1.4</c:v>
                </c:pt>
              </c:numCache>
            </c:numRef>
          </c:val>
          <c:extLst xmlns:c15="http://schemas.microsoft.com/office/drawing/2012/chart">
            <c:ext xmlns:c16="http://schemas.microsoft.com/office/drawing/2014/chart" uri="{C3380CC4-5D6E-409C-BE32-E72D297353CC}">
              <c16:uniqueId val="{00000008-BEBE-4EBD-873B-0C4A564A6B93}"/>
            </c:ext>
          </c:extLst>
        </c:ser>
        <c:ser>
          <c:idx val="12"/>
          <c:order val="6"/>
          <c:tx>
            <c:strRef>
              <c:f>'PE1.03_Ind01'!$B$22</c:f>
              <c:strCache>
                <c:ptCount val="1"/>
                <c:pt idx="0">
                  <c:v>Geologia</c:v>
                </c:pt>
              </c:strCache>
            </c:strRef>
          </c:tx>
          <c:spPr>
            <a:solidFill>
              <a:schemeClr val="bg1">
                <a:lumMod val="65000"/>
              </a:schemeClr>
            </a:solidFill>
            <a:ln>
              <a:solidFill>
                <a:schemeClr val="bg1">
                  <a:lumMod val="65000"/>
                </a:schemeClr>
              </a:solid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'PE1.03_Ind01'!$D$22:$J$22</c:f>
              <c:numCache>
                <c:formatCode>General</c:formatCode>
                <c:ptCount val="7"/>
                <c:pt idx="0">
                  <c:v>0.4</c:v>
                </c:pt>
                <c:pt idx="1">
                  <c:v>0.4</c:v>
                </c:pt>
                <c:pt idx="2">
                  <c:v>0.4</c:v>
                </c:pt>
                <c:pt idx="3">
                  <c:v>0.5</c:v>
                </c:pt>
                <c:pt idx="4">
                  <c:v>0.5</c:v>
                </c:pt>
                <c:pt idx="5">
                  <c:v>0.4</c:v>
                </c:pt>
                <c:pt idx="6">
                  <c:v>0.7</c:v>
                </c:pt>
              </c:numCache>
            </c:numRef>
          </c:val>
          <c:extLst>
            <c:ext xmlns:c16="http://schemas.microsoft.com/office/drawing/2014/chart" uri="{C3380CC4-5D6E-409C-BE32-E72D297353CC}">
              <c16:uniqueId val="{00000015-BEBE-4EBD-873B-0C4A564A6B93}"/>
            </c:ext>
          </c:extLst>
        </c:ser>
        <c:ser>
          <c:idx val="7"/>
          <c:order val="7"/>
          <c:tx>
            <c:strRef>
              <c:f>'PE1.03_Ind01'!$B$23</c:f>
              <c:strCache>
                <c:ptCount val="1"/>
                <c:pt idx="0">
                  <c:v>Matemàtica Computacional i Analítica de Dades</c:v>
                </c:pt>
              </c:strCache>
              <c:extLst xmlns:c15="http://schemas.microsoft.com/office/drawing/2012/chart"/>
            </c:strRef>
          </c:tx>
          <c:spPr>
            <a:solidFill>
              <a:schemeClr val="accent6">
                <a:lumMod val="50000"/>
              </a:schemeClr>
            </a:soli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extLst xmlns:c15="http://schemas.microsoft.com/office/drawing/2012/chart"/>
            </c:strRef>
          </c:cat>
          <c:val>
            <c:numRef>
              <c:f>'PE1.03_Ind01'!$D$23:$J$23</c:f>
              <c:numCache>
                <c:formatCode>General</c:formatCode>
                <c:ptCount val="7"/>
                <c:pt idx="0">
                  <c:v>0</c:v>
                </c:pt>
                <c:pt idx="1">
                  <c:v>1</c:v>
                </c:pt>
                <c:pt idx="2">
                  <c:v>1.3</c:v>
                </c:pt>
                <c:pt idx="3">
                  <c:v>1.4</c:v>
                </c:pt>
                <c:pt idx="4">
                  <c:v>1.3</c:v>
                </c:pt>
                <c:pt idx="5">
                  <c:v>0.9</c:v>
                </c:pt>
                <c:pt idx="6">
                  <c:v>1</c:v>
                </c:pt>
              </c:numCache>
              <c:extLst xmlns:c15="http://schemas.microsoft.com/office/drawing/2012/chart"/>
            </c:numRef>
          </c:val>
          <c:extLst xmlns:c15="http://schemas.microsoft.com/office/drawing/2012/chart">
            <c:ext xmlns:c16="http://schemas.microsoft.com/office/drawing/2014/chart" uri="{C3380CC4-5D6E-409C-BE32-E72D297353CC}">
              <c16:uniqueId val="{00000009-BEBE-4EBD-873B-0C4A564A6B93}"/>
            </c:ext>
          </c:extLst>
        </c:ser>
        <c:ser>
          <c:idx val="8"/>
          <c:order val="8"/>
          <c:tx>
            <c:strRef>
              <c:f>'PE1.03_Ind01'!$B$24</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'PE1.03_Ind01'!$D$24:$J$24</c:f>
              <c:numCache>
                <c:formatCode>General</c:formatCode>
                <c:ptCount val="7"/>
                <c:pt idx="0">
                  <c:v>1</c:v>
                </c:pt>
                <c:pt idx="1">
                  <c:v>1.2</c:v>
                </c:pt>
                <c:pt idx="2">
                  <c:v>1.2</c:v>
                </c:pt>
                <c:pt idx="3">
                  <c:v>2</c:v>
                </c:pt>
                <c:pt idx="4">
                  <c:v>1.7</c:v>
                </c:pt>
                <c:pt idx="5">
                  <c:v>1.4</c:v>
                </c:pt>
                <c:pt idx="6">
                  <c:v>1.3</c:v>
                </c:pt>
              </c:numCache>
            </c:numRef>
          </c:val>
          <c:extLst>
            <c:ext xmlns:c16="http://schemas.microsoft.com/office/drawing/2014/chart" uri="{C3380CC4-5D6E-409C-BE32-E72D297353CC}">
              <c16:uniqueId val="{0000000A-BEBE-4EBD-873B-0C4A564A6B93}"/>
            </c:ext>
          </c:extLst>
        </c:ser>
        <c:ser>
          <c:idx val="9"/>
          <c:order val="9"/>
          <c:tx>
            <c:strRef>
              <c:f>'PE1.03_Ind01'!$B$25</c:f>
              <c:strCache>
                <c:ptCount val="1"/>
                <c:pt idx="0">
                  <c:v>Nanociència i Nanotecnologia</c:v>
                </c:pt>
              </c:strCache>
              <c:extLst xmlns:c15="http://schemas.microsoft.com/office/drawing/2012/chart"/>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extLst xmlns:c15="http://schemas.microsoft.com/office/drawing/2012/chart"/>
            </c:strRef>
          </c:cat>
          <c:val>
            <c:numRef>
              <c:f>'PE1.03_Ind01'!$D$25:$J$25</c:f>
              <c:numCache>
                <c:formatCode>General</c:formatCode>
                <c:ptCount val="7"/>
                <c:pt idx="0">
                  <c:v>1.3</c:v>
                </c:pt>
                <c:pt idx="1">
                  <c:v>1</c:v>
                </c:pt>
                <c:pt idx="2">
                  <c:v>1.1000000000000001</c:v>
                </c:pt>
                <c:pt idx="3">
                  <c:v>1.1000000000000001</c:v>
                </c:pt>
                <c:pt idx="4">
                  <c:v>1.2</c:v>
                </c:pt>
                <c:pt idx="5">
                  <c:v>1.2</c:v>
                </c:pt>
                <c:pt idx="6">
                  <c:v>1</c:v>
                </c:pt>
              </c:numCache>
              <c:extLst xmlns:c15="http://schemas.microsoft.com/office/drawing/2012/chart"/>
            </c:numRef>
          </c:val>
          <c:extLst xmlns:c15="http://schemas.microsoft.com/office/drawing/2012/chart">
            <c:ext xmlns:c16="http://schemas.microsoft.com/office/drawing/2014/chart" uri="{C3380CC4-5D6E-409C-BE32-E72D297353CC}">
              <c16:uniqueId val="{0000000B-BEBE-4EBD-873B-0C4A564A6B93}"/>
            </c:ext>
          </c:extLst>
        </c:ser>
        <c:ser>
          <c:idx val="10"/>
          <c:order val="10"/>
          <c:tx>
            <c:strRef>
              <c:f>'PE1.03_Ind01'!$B$26</c:f>
              <c:strCache>
                <c:ptCount val="1"/>
                <c:pt idx="0">
                  <c:v>Química</c:v>
                </c:pt>
              </c:strCache>
              <c:extLst xmlns:c15="http://schemas.microsoft.com/office/drawing/2012/chart"/>
            </c:strRef>
          </c:tx>
          <c:spPr>
            <a:solidFill>
              <a:schemeClr val="accent1">
                <a:lumMod val="50000"/>
              </a:schemeClr>
            </a:soli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'PE1.03_Ind01'!$D$26:$J$26</c:f>
              <c:numCache>
                <c:formatCode>General</c:formatCode>
                <c:ptCount val="7"/>
                <c:pt idx="0">
                  <c:v>1</c:v>
                </c:pt>
                <c:pt idx="1">
                  <c:v>1</c:v>
                </c:pt>
                <c:pt idx="2">
                  <c:v>1.1000000000000001</c:v>
                </c:pt>
                <c:pt idx="3">
                  <c:v>0.9</c:v>
                </c:pt>
                <c:pt idx="4">
                  <c:v>1.1000000000000001</c:v>
                </c:pt>
                <c:pt idx="5">
                  <c:v>1</c:v>
                </c:pt>
                <c:pt idx="6">
                  <c:v>0.9</c:v>
                </c:pt>
              </c:numCache>
            </c:numRef>
          </c:val>
          <c:extLst xmlns:c15="http://schemas.microsoft.com/office/drawing/2012/chart">
            <c:ext xmlns:c16="http://schemas.microsoft.com/office/drawing/2014/chart" uri="{C3380CC4-5D6E-409C-BE32-E72D297353CC}">
              <c16:uniqueId val="{0000000C-BEBE-4EBD-873B-0C4A564A6B93}"/>
            </c:ext>
          </c:extLst>
        </c:ser>
        <c:dLbls>
          <c:showLegendKey val="0"/>
          <c:showVal val="0"/>
          <c:showCatName val="0"/>
          <c:showSerName val="0"/>
          <c:showPercent val="0"/>
          <c:showBubbleSize val="0"/>
        </c:dLbls>
        <c:gapWidth val="219"/>
        <c:axId val="1479673840"/>
        <c:axId val="1634589888"/>
        <c:extLst/>
      </c:barChart>
      <c:lineChart>
        <c:grouping val="standard"/>
        <c:varyColors val="0"/>
        <c:ser>
          <c:idx val="11"/>
          <c:order val="11"/>
          <c:tx>
            <c:strRef>
              <c:f>'PE1.03_Ind01'!$B$27</c:f>
              <c:strCache>
                <c:ptCount val="1"/>
                <c:pt idx="0">
                  <c:v>Valor objectiu ≥ 0.8</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'PE1.03_Ind01'!$D$27:$J$27</c:f>
              <c:numCache>
                <c:formatCode>General</c:formatCode>
                <c:ptCount val="7"/>
                <c:pt idx="0">
                  <c:v>0.8</c:v>
                </c:pt>
                <c:pt idx="1">
                  <c:v>0.8</c:v>
                </c:pt>
                <c:pt idx="2">
                  <c:v>0.8</c:v>
                </c:pt>
                <c:pt idx="3">
                  <c:v>0.8</c:v>
                </c:pt>
                <c:pt idx="4">
                  <c:v>0.8</c:v>
                </c:pt>
                <c:pt idx="5">
                  <c:v>0.8</c:v>
                </c:pt>
                <c:pt idx="6">
                  <c:v>0.8</c:v>
                </c:pt>
              </c:numCache>
            </c:numRef>
          </c:val>
          <c:smooth val="0"/>
          <c:extLst>
            <c:ext xmlns:c16="http://schemas.microsoft.com/office/drawing/2014/chart" uri="{C3380CC4-5D6E-409C-BE32-E72D297353CC}">
              <c16:uniqueId val="{0000000F-BEBE-4EBD-873B-0C4A564A6B93}"/>
            </c:ext>
          </c:extLst>
        </c:ser>
        <c:dLbls>
          <c:showLegendKey val="0"/>
          <c:showVal val="0"/>
          <c:showCatName val="0"/>
          <c:showSerName val="0"/>
          <c:showPercent val="0"/>
          <c:showBubbleSize val="0"/>
        </c:dLbls>
        <c:marker val="1"/>
        <c:smooth val="0"/>
        <c:axId val="1479673840"/>
        <c:axId val="1634589888"/>
      </c:lineChart>
      <c:catAx>
        <c:axId val="1479673840"/>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34589888"/>
        <c:crosses val="autoZero"/>
        <c:auto val="1"/>
        <c:lblAlgn val="ctr"/>
        <c:lblOffset val="100"/>
        <c:noMultiLvlLbl val="0"/>
      </c:catAx>
      <c:valAx>
        <c:axId val="16345898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7967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400" b="1" i="0" u="none" strike="noStrike" baseline="0">
                <a:effectLst>
                  <a:outerShdw blurRad="50800" dist="38100" dir="5400000" algn="t" rotWithShape="0">
                    <a:prstClr val="black">
                      <a:alpha val="40000"/>
                    </a:prstClr>
                  </a:outerShdw>
                </a:effectLst>
                <a:latin typeface="Calibri" panose="020F0502020204030204" pitchFamily="34" charset="0"/>
                <a:ea typeface="Calibri" panose="020F0502020204030204" pitchFamily="34" charset="0"/>
                <a:cs typeface="Calibri" panose="020F0502020204030204" pitchFamily="34" charset="0"/>
              </a:rPr>
              <a:t>PE1.03_Ind02. Taxa de graduació, a temps complert, per curs acadèmic i titulació (per cohort, N+1, Graus)</a:t>
            </a:r>
            <a:r>
              <a:rPr lang="es-ES" sz="1400">
                <a:latin typeface="Calibri" panose="020F0502020204030204" pitchFamily="34" charset="0"/>
                <a:ea typeface="Calibri" panose="020F0502020204030204" pitchFamily="34" charset="0"/>
                <a:cs typeface="Calibri" panose="020F0502020204030204" pitchFamily="34" charset="0"/>
              </a:rPr>
              <a:t> </a:t>
            </a:r>
            <a:endParaRPr lang="ca-ES" sz="1400">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7.9317900601863237E-2"/>
          <c:y val="0.11933610058911677"/>
          <c:w val="0.83784368220558325"/>
          <c:h val="0.61007901139068366"/>
        </c:manualLayout>
      </c:layout>
      <c:barChart>
        <c:barDir val="col"/>
        <c:grouping val="clustered"/>
        <c:varyColors val="0"/>
        <c:ser>
          <c:idx val="0"/>
          <c:order val="0"/>
          <c:tx>
            <c:strRef>
              <c:f>'PE1.03_Ind02'!$B$15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'PE1.03_Ind02'!$D$15:$H$15</c:f>
              <c:numCache>
                <c:formatCode>0.00%</c:formatCode>
                <c:ptCount val="5"/>
                <c:pt idx="0">
                  <c:v>0.57530000000000003</c:v>
                </c:pt>
                <c:pt idx="1">
                  <c:v>0.66200000000000003</c:v>
                </c:pt>
                <c:pt idx="2">
                  <c:v>0.68569999999999998</c:v>
                </c:pt>
                <c:pt idx="3">
                  <c:v>0.9</c:v>
                </c:pt>
                <c:pt idx="4">
                  <c:v>0.81</c:v>
                </c:pt>
              </c:numCache>
            </c:numRef>
          </c:val>
          <c:extLst>
            <c:ext xmlns:c16="http://schemas.microsoft.com/office/drawing/2014/chart" uri="{C3380CC4-5D6E-409C-BE32-E72D297353CC}">
              <c16:uniqueId val="{00000000-0C25-4390-87D7-D441314B8FBB}"/>
            </c:ext>
          </c:extLst>
        </c:ser>
        <c:ser>
          <c:idx val="1"/>
          <c:order val="1"/>
          <c:tx>
            <c:strRef>
              <c:f>'PE1.03_Ind02'!$B$16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'PE1.03_Ind02'!$D$16:$H$16</c:f>
              <c:numCache>
                <c:formatCode>0.00%</c:formatCode>
                <c:ptCount val="5"/>
                <c:pt idx="0">
                  <c:v>0</c:v>
                </c:pt>
                <c:pt idx="1">
                  <c:v>0.68179999999999996</c:v>
                </c:pt>
                <c:pt idx="2">
                  <c:v>0</c:v>
                </c:pt>
                <c:pt idx="3">
                  <c:v>0</c:v>
                </c:pt>
                <c:pt idx="4">
                  <c:v>0</c:v>
                </c:pt>
              </c:numCache>
            </c:numRef>
          </c:val>
          <c:extLst>
            <c:ext xmlns:c16="http://schemas.microsoft.com/office/drawing/2014/chart" uri="{C3380CC4-5D6E-409C-BE32-E72D297353CC}">
              <c16:uniqueId val="{00000001-0C25-4390-87D7-D441314B8FBB}"/>
            </c:ext>
          </c:extLst>
        </c:ser>
        <c:ser>
          <c:idx val="2"/>
          <c:order val="2"/>
          <c:tx>
            <c:strRef>
              <c:f>'PE1.03_Ind02'!$B$17</c:f>
              <c:strCache>
                <c:ptCount val="1"/>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'PE1.03_Ind02'!$D$17:$H$17</c:f>
              <c:numCache>
                <c:formatCode>0.00%</c:formatCode>
                <c:ptCount val="5"/>
                <c:pt idx="0">
                  <c:v>0.42499999999999999</c:v>
                </c:pt>
                <c:pt idx="1">
                  <c:v>0.15379999999999999</c:v>
                </c:pt>
                <c:pt idx="2">
                  <c:v>0</c:v>
                </c:pt>
                <c:pt idx="3">
                  <c:v>0</c:v>
                </c:pt>
                <c:pt idx="4">
                  <c:v>0.56999999999999995</c:v>
                </c:pt>
              </c:numCache>
            </c:numRef>
          </c:val>
          <c:extLst>
            <c:ext xmlns:c16="http://schemas.microsoft.com/office/drawing/2014/chart" uri="{C3380CC4-5D6E-409C-BE32-E72D297353CC}">
              <c16:uniqueId val="{00000002-0C25-4390-87D7-D441314B8FBB}"/>
            </c:ext>
          </c:extLst>
        </c:ser>
        <c:ser>
          <c:idx val="3"/>
          <c:order val="3"/>
          <c:tx>
            <c:strRef>
              <c:f>'PE1.03_Ind02'!$B$18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'PE1.03_Ind02'!$D$18:$H$18</c:f>
              <c:numCache>
                <c:formatCode>0.00%</c:formatCode>
                <c:ptCount val="5"/>
                <c:pt idx="0">
                  <c:v>0.73</c:v>
                </c:pt>
                <c:pt idx="1">
                  <c:v>0.59419999999999995</c:v>
                </c:pt>
                <c:pt idx="2">
                  <c:v>0.57140000000000002</c:v>
                </c:pt>
                <c:pt idx="3">
                  <c:v>0.88</c:v>
                </c:pt>
                <c:pt idx="4">
                  <c:v>0.65</c:v>
                </c:pt>
              </c:numCache>
            </c:numRef>
          </c:val>
          <c:extLst>
            <c:ext xmlns:c16="http://schemas.microsoft.com/office/drawing/2014/chart" uri="{C3380CC4-5D6E-409C-BE32-E72D297353CC}">
              <c16:uniqueId val="{00000003-0C25-4390-87D7-D441314B8FBB}"/>
            </c:ext>
          </c:extLst>
        </c:ser>
        <c:ser>
          <c:idx val="4"/>
          <c:order val="4"/>
          <c:tx>
            <c:strRef>
              <c:f>'PE1.03_Ind02'!$B$19</c:f>
              <c:strCache>
                <c:ptCount val="1"/>
                <c:pt idx="0">
                  <c:v>Física i Matemátiques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'PE1.03_Ind02'!$D$19:$H$19</c:f>
              <c:numCache>
                <c:formatCode>0.00%</c:formatCode>
                <c:ptCount val="5"/>
                <c:pt idx="0">
                  <c:v>0.71430000000000005</c:v>
                </c:pt>
                <c:pt idx="1">
                  <c:v>0.83330000000000004</c:v>
                </c:pt>
                <c:pt idx="2">
                  <c:v>0.95650000000000002</c:v>
                </c:pt>
                <c:pt idx="3">
                  <c:v>0</c:v>
                </c:pt>
                <c:pt idx="4">
                  <c:v>0</c:v>
                </c:pt>
              </c:numCache>
            </c:numRef>
          </c:val>
          <c:extLst>
            <c:ext xmlns:c16="http://schemas.microsoft.com/office/drawing/2014/chart" uri="{C3380CC4-5D6E-409C-BE32-E72D297353CC}">
              <c16:uniqueId val="{00000004-0C25-4390-87D7-D441314B8FBB}"/>
            </c:ext>
          </c:extLst>
        </c:ser>
        <c:ser>
          <c:idx val="5"/>
          <c:order val="5"/>
          <c:tx>
            <c:strRef>
              <c:f>'PE1.03_Ind02'!$B$20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'PE1.03_Ind02'!$D$20:$H$20</c:f>
              <c:numCache>
                <c:formatCode>0.00%</c:formatCode>
                <c:ptCount val="5"/>
                <c:pt idx="0">
                  <c:v>0.63639999999999997</c:v>
                </c:pt>
                <c:pt idx="1">
                  <c:v>0</c:v>
                </c:pt>
                <c:pt idx="2">
                  <c:v>0</c:v>
                </c:pt>
                <c:pt idx="3">
                  <c:v>0</c:v>
                </c:pt>
                <c:pt idx="4">
                  <c:v>0</c:v>
                </c:pt>
              </c:numCache>
            </c:numRef>
          </c:val>
          <c:extLst>
            <c:ext xmlns:c16="http://schemas.microsoft.com/office/drawing/2014/chart" uri="{C3380CC4-5D6E-409C-BE32-E72D297353CC}">
              <c16:uniqueId val="{00000005-0C25-4390-87D7-D441314B8FBB}"/>
            </c:ext>
          </c:extLst>
        </c:ser>
        <c:ser>
          <c:idx val="6"/>
          <c:order val="6"/>
          <c:tx>
            <c:strRef>
              <c:f>'PE1.03_Ind02'!$B$21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'PE1.03_Ind02'!$D$21:$H$21</c:f>
              <c:numCache>
                <c:formatCode>0.00%</c:formatCode>
                <c:ptCount val="5"/>
                <c:pt idx="0">
                  <c:v>0.1525</c:v>
                </c:pt>
                <c:pt idx="1">
                  <c:v>0.26319999999999999</c:v>
                </c:pt>
                <c:pt idx="2">
                  <c:v>0.4103</c:v>
                </c:pt>
                <c:pt idx="3">
                  <c:v>0.34</c:v>
                </c:pt>
                <c:pt idx="4">
                  <c:v>0.33</c:v>
                </c:pt>
              </c:numCache>
            </c:numRef>
          </c:val>
          <c:extLst>
            <c:ext xmlns:c16="http://schemas.microsoft.com/office/drawing/2014/chart" uri="{C3380CC4-5D6E-409C-BE32-E72D297353CC}">
              <c16:uniqueId val="{00000006-0C25-4390-87D7-D441314B8FBB}"/>
            </c:ext>
          </c:extLst>
        </c:ser>
        <c:ser>
          <c:idx val="7"/>
          <c:order val="7"/>
          <c:tx>
            <c:strRef>
              <c:f>'PE1.03_Ind02'!$B$22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'PE1.03_Ind02'!$D$22:$H$22</c:f>
              <c:numCache>
                <c:formatCode>0.00%</c:formatCode>
                <c:ptCount val="5"/>
                <c:pt idx="0">
                  <c:v>0</c:v>
                </c:pt>
                <c:pt idx="1">
                  <c:v>0</c:v>
                </c:pt>
                <c:pt idx="2">
                  <c:v>0</c:v>
                </c:pt>
                <c:pt idx="3">
                  <c:v>0.61</c:v>
                </c:pt>
                <c:pt idx="4">
                  <c:v>0.77</c:v>
                </c:pt>
              </c:numCache>
            </c:numRef>
          </c:val>
          <c:extLst>
            <c:ext xmlns:c16="http://schemas.microsoft.com/office/drawing/2014/chart" uri="{C3380CC4-5D6E-409C-BE32-E72D297353CC}">
              <c16:uniqueId val="{00000007-0C25-4390-87D7-D441314B8FBB}"/>
            </c:ext>
          </c:extLst>
        </c:ser>
        <c:ser>
          <c:idx val="8"/>
          <c:order val="8"/>
          <c:tx>
            <c:strRef>
              <c:f>'PE1.03_Ind02'!$B$23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'PE1.03_Ind02'!$D$23:$H$23</c:f>
              <c:numCache>
                <c:formatCode>0.00%</c:formatCode>
                <c:ptCount val="5"/>
                <c:pt idx="0">
                  <c:v>0.39240000000000003</c:v>
                </c:pt>
                <c:pt idx="1">
                  <c:v>0.4425</c:v>
                </c:pt>
                <c:pt idx="2">
                  <c:v>0.38100000000000001</c:v>
                </c:pt>
                <c:pt idx="3">
                  <c:v>0.73</c:v>
                </c:pt>
                <c:pt idx="4">
                  <c:v>0.56000000000000005</c:v>
                </c:pt>
              </c:numCache>
            </c:numRef>
          </c:val>
          <c:extLst>
            <c:ext xmlns:c16="http://schemas.microsoft.com/office/drawing/2014/chart" uri="{C3380CC4-5D6E-409C-BE32-E72D297353CC}">
              <c16:uniqueId val="{00000008-0C25-4390-87D7-D441314B8FBB}"/>
            </c:ext>
          </c:extLst>
        </c:ser>
        <c:ser>
          <c:idx val="9"/>
          <c:order val="9"/>
          <c:tx>
            <c:strRef>
              <c:f>'PE1.03_Ind02'!$B$24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'PE1.03_Ind02'!$D$24:$H$24</c:f>
              <c:numCache>
                <c:formatCode>0.00%</c:formatCode>
                <c:ptCount val="5"/>
                <c:pt idx="0">
                  <c:v>0.81689999999999996</c:v>
                </c:pt>
                <c:pt idx="1">
                  <c:v>0.73360000000000003</c:v>
                </c:pt>
                <c:pt idx="2">
                  <c:v>0.77939999999999998</c:v>
                </c:pt>
                <c:pt idx="3">
                  <c:v>0.55000000000000004</c:v>
                </c:pt>
                <c:pt idx="4">
                  <c:v>0.74</c:v>
                </c:pt>
              </c:numCache>
            </c:numRef>
          </c:val>
          <c:extLst>
            <c:ext xmlns:c16="http://schemas.microsoft.com/office/drawing/2014/chart" uri="{C3380CC4-5D6E-409C-BE32-E72D297353CC}">
              <c16:uniqueId val="{00000009-0C25-4390-87D7-D441314B8FBB}"/>
            </c:ext>
          </c:extLst>
        </c:ser>
        <c:ser>
          <c:idx val="10"/>
          <c:order val="10"/>
          <c:tx>
            <c:strRef>
              <c:f>'PE1.03_Ind02'!$B$25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'PE1.03_Ind02'!$D$25:$H$25</c:f>
              <c:numCache>
                <c:formatCode>0.00%</c:formatCode>
                <c:ptCount val="5"/>
                <c:pt idx="0">
                  <c:v>0.47539999999999999</c:v>
                </c:pt>
                <c:pt idx="1">
                  <c:v>0.45450000000000002</c:v>
                </c:pt>
                <c:pt idx="2">
                  <c:v>0.39860000000000001</c:v>
                </c:pt>
                <c:pt idx="3">
                  <c:v>0.53</c:v>
                </c:pt>
                <c:pt idx="4">
                  <c:v>0.3</c:v>
                </c:pt>
              </c:numCache>
            </c:numRef>
          </c:val>
          <c:extLst>
            <c:ext xmlns:c16="http://schemas.microsoft.com/office/drawing/2014/chart" uri="{C3380CC4-5D6E-409C-BE32-E72D297353CC}">
              <c16:uniqueId val="{0000000A-0C25-4390-87D7-D441314B8FBB}"/>
            </c:ext>
          </c:extLst>
        </c:ser>
        <c:dLbls>
          <c:showLegendKey val="0"/>
          <c:showVal val="0"/>
          <c:showCatName val="0"/>
          <c:showSerName val="0"/>
          <c:showPercent val="0"/>
          <c:showBubbleSize val="0"/>
        </c:dLbls>
        <c:gapWidth val="150"/>
        <c:axId val="1326556080"/>
        <c:axId val="930654752"/>
      </c:barChart>
      <c:lineChart>
        <c:grouping val="standard"/>
        <c:varyColors val="0"/>
        <c:ser>
          <c:idx val="11"/>
          <c:order val="11"/>
          <c:tx>
            <c:strRef>
              <c:f>'PE1.03_Ind02'!$B$28</c:f>
              <c:strCache>
                <c:ptCount val="1"/>
                <c:pt idx="0">
                  <c:v>Valor 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rgbClr val="FFC000"/>
                </a:solidFill>
                <a:round/>
              </a:ln>
              <a:effectLst>
                <a:outerShdw blurRad="57150" dist="19050" dir="5400000" algn="ctr" rotWithShape="0">
                  <a:srgbClr val="000000">
                    <a:alpha val="63000"/>
                  </a:srgbClr>
                </a:outerShdw>
              </a:effectLst>
            </c:spPr>
          </c:marker>
          <c:cat>
            <c:strRef>
              <c:f>'PE1.03_Ind02'!$D$14:$H$14</c:f>
              <c:strCache>
                <c:ptCount val="5"/>
                <c:pt idx="0">
                  <c:v>2015/2016</c:v>
                </c:pt>
                <c:pt idx="1">
                  <c:v>2016/2017</c:v>
                </c:pt>
                <c:pt idx="2">
                  <c:v>2017/2018</c:v>
                </c:pt>
                <c:pt idx="3">
                  <c:v>2018/2019</c:v>
                </c:pt>
                <c:pt idx="4">
                  <c:v>2019/2020</c:v>
                </c:pt>
              </c:strCache>
            </c:strRef>
          </c:cat>
          <c:val>
            <c:numRef>
              <c:f>'PE1.03_Ind02'!$D$28:$H$28</c:f>
              <c:numCache>
                <c:formatCode>0.00%</c:formatCode>
                <c:ptCount val="5"/>
                <c:pt idx="0">
                  <c:v>0.5</c:v>
                </c:pt>
                <c:pt idx="1">
                  <c:v>0.5</c:v>
                </c:pt>
                <c:pt idx="2">
                  <c:v>0.5</c:v>
                </c:pt>
                <c:pt idx="3">
                  <c:v>0.5</c:v>
                </c:pt>
                <c:pt idx="4">
                  <c:v>0.5</c:v>
                </c:pt>
              </c:numCache>
            </c:numRef>
          </c:val>
          <c:smooth val="0"/>
          <c:extLst>
            <c:ext xmlns:c16="http://schemas.microsoft.com/office/drawing/2014/chart" uri="{C3380CC4-5D6E-409C-BE32-E72D297353CC}">
              <c16:uniqueId val="{0000000B-0C25-4390-87D7-D441314B8FBB}"/>
            </c:ext>
          </c:extLst>
        </c:ser>
        <c:dLbls>
          <c:showLegendKey val="0"/>
          <c:showVal val="0"/>
          <c:showCatName val="0"/>
          <c:showSerName val="0"/>
          <c:showPercent val="0"/>
          <c:showBubbleSize val="0"/>
        </c:dLbls>
        <c:marker val="1"/>
        <c:smooth val="0"/>
        <c:axId val="1326556080"/>
        <c:axId val="930654752"/>
      </c:lineChart>
      <c:catAx>
        <c:axId val="1326556080"/>
        <c:scaling>
          <c:orientation val="minMax"/>
        </c:scaling>
        <c:delete val="0"/>
        <c:axPos val="b"/>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930654752"/>
        <c:crosses val="autoZero"/>
        <c:auto val="1"/>
        <c:lblAlgn val="ctr"/>
        <c:lblOffset val="100"/>
        <c:noMultiLvlLbl val="0"/>
      </c:catAx>
      <c:valAx>
        <c:axId val="930654752"/>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26556080"/>
        <c:crosses val="autoZero"/>
        <c:crossBetween val="between"/>
      </c:valAx>
      <c:spPr>
        <a:noFill/>
        <a:ln>
          <a:noFill/>
        </a:ln>
        <a:effectLst/>
      </c:spPr>
    </c:plotArea>
    <c:legend>
      <c:legendPos val="b"/>
      <c:layout>
        <c:manualLayout>
          <c:xMode val="edge"/>
          <c:yMode val="edge"/>
          <c:x val="9.3617520241638025E-2"/>
          <c:y val="0.81338761947377392"/>
          <c:w val="0.73328539289731642"/>
          <c:h val="0.154394295115710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9.xml"/><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2.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4.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6.xm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8.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2.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3.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4.xm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9.xml"/></Relationships>
</file>

<file path=xl/drawings/_rels/drawing4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0.xml"/></Relationships>
</file>

<file path=xl/drawings/_rels/drawing4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1.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2.xml"/></Relationships>
</file>

<file path=xl/drawings/_rels/drawing5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3.xml"/></Relationships>
</file>

<file path=xl/drawings/_rels/drawing5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4.xml"/></Relationships>
</file>

<file path=xl/drawings/_rels/drawing5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5.xml"/></Relationships>
</file>

<file path=xl/drawings/_rels/drawing5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6.xml"/></Relationships>
</file>

<file path=xl/drawings/_rels/drawing5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7.xml"/></Relationships>
</file>

<file path=xl/drawings/_rels/drawing5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8.xml"/></Relationships>
</file>

<file path=xl/drawings/_rels/drawing5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9.xml"/></Relationships>
</file>

<file path=xl/drawings/_rels/drawing5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0.xml"/></Relationships>
</file>

<file path=xl/drawings/_rels/drawing5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2.xml"/></Relationships>
</file>

<file path=xl/drawings/_rels/drawing6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3.xml"/></Relationships>
</file>

<file path=xl/drawings/_rels/drawing6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4.xml"/></Relationships>
</file>

<file path=xl/drawings/_rels/drawing6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5.xml"/></Relationships>
</file>

<file path=xl/drawings/_rels/drawing6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6.xml"/></Relationships>
</file>

<file path=xl/drawings/_rels/drawing6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7.xml"/></Relationships>
</file>

<file path=xl/drawings/_rels/drawing6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8.xml"/></Relationships>
</file>

<file path=xl/drawings/_rels/drawing6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70.xml"/><Relationship Id="rId1" Type="http://schemas.openxmlformats.org/officeDocument/2006/relationships/chart" Target="../charts/chart69.xml"/></Relationships>
</file>

<file path=xl/drawings/_rels/drawing6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1.xml"/></Relationships>
</file>

<file path=xl/drawings/_rels/drawing6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2.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3.xml"/></Relationships>
</file>

<file path=xl/drawings/_rels/drawing7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4.xml"/></Relationships>
</file>

<file path=xl/drawings/_rels/drawing7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5.xml"/></Relationships>
</file>

<file path=xl/drawings/_rels/drawing7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6.xml"/></Relationships>
</file>

<file path=xl/drawings/_rels/drawing7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361950</xdr:colOff>
      <xdr:row>1</xdr:row>
      <xdr:rowOff>95250</xdr:rowOff>
    </xdr:from>
    <xdr:to>
      <xdr:col>2</xdr:col>
      <xdr:colOff>676275</xdr:colOff>
      <xdr:row>3</xdr:row>
      <xdr:rowOff>154553</xdr:rowOff>
    </xdr:to>
    <xdr:pic>
      <xdr:nvPicPr>
        <xdr:cNvPr id="2" name="Imatge 1">
          <a:extLst>
            <a:ext uri="{FF2B5EF4-FFF2-40B4-BE49-F238E27FC236}">
              <a16:creationId xmlns:a16="http://schemas.microsoft.com/office/drawing/2014/main" id="{9470B2F9-174E-4BA0-BAA2-DC59F9CB70C5}"/>
            </a:ext>
          </a:extLst>
        </xdr:cNvPr>
        <xdr:cNvPicPr>
          <a:picLocks noChangeAspect="1"/>
        </xdr:cNvPicPr>
      </xdr:nvPicPr>
      <xdr:blipFill>
        <a:blip xmlns:r="http://schemas.openxmlformats.org/officeDocument/2006/relationships" r:embed="rId1"/>
        <a:stretch>
          <a:fillRect/>
        </a:stretch>
      </xdr:blipFill>
      <xdr:spPr>
        <a:xfrm>
          <a:off x="457200" y="295275"/>
          <a:ext cx="1657350" cy="6308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523875</xdr:colOff>
      <xdr:row>31</xdr:row>
      <xdr:rowOff>219074</xdr:rowOff>
    </xdr:from>
    <xdr:to>
      <xdr:col>13</xdr:col>
      <xdr:colOff>1000125</xdr:colOff>
      <xdr:row>55</xdr:row>
      <xdr:rowOff>152400</xdr:rowOff>
    </xdr:to>
    <xdr:graphicFrame macro="">
      <xdr:nvGraphicFramePr>
        <xdr:cNvPr id="7" name="Gràfic 6">
          <a:extLst>
            <a:ext uri="{FF2B5EF4-FFF2-40B4-BE49-F238E27FC236}">
              <a16:creationId xmlns:a16="http://schemas.microsoft.com/office/drawing/2014/main" id="{D46A2FCC-582C-004C-B89A-A3F667ABA4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876300</xdr:colOff>
      <xdr:row>1</xdr:row>
      <xdr:rowOff>28575</xdr:rowOff>
    </xdr:from>
    <xdr:to>
      <xdr:col>3</xdr:col>
      <xdr:colOff>190500</xdr:colOff>
      <xdr:row>1</xdr:row>
      <xdr:rowOff>659378</xdr:rowOff>
    </xdr:to>
    <xdr:pic>
      <xdr:nvPicPr>
        <xdr:cNvPr id="2" name="Imatge 1">
          <a:extLst>
            <a:ext uri="{FF2B5EF4-FFF2-40B4-BE49-F238E27FC236}">
              <a16:creationId xmlns:a16="http://schemas.microsoft.com/office/drawing/2014/main" id="{7A9F21E8-FEAD-4000-B344-3A7A0DCE7CBC}"/>
            </a:ext>
          </a:extLst>
        </xdr:cNvPr>
        <xdr:cNvPicPr>
          <a:picLocks noChangeAspect="1"/>
        </xdr:cNvPicPr>
      </xdr:nvPicPr>
      <xdr:blipFill>
        <a:blip xmlns:r="http://schemas.openxmlformats.org/officeDocument/2006/relationships" r:embed="rId2"/>
        <a:stretch>
          <a:fillRect/>
        </a:stretch>
      </xdr:blipFill>
      <xdr:spPr>
        <a:xfrm>
          <a:off x="1104900" y="228600"/>
          <a:ext cx="1657350" cy="630803"/>
        </a:xfrm>
        <a:prstGeom prst="rect">
          <a:avLst/>
        </a:prstGeom>
      </xdr:spPr>
    </xdr:pic>
    <xdr:clientData/>
  </xdr:twoCellAnchor>
  <xdr:twoCellAnchor editAs="oneCell">
    <xdr:from>
      <xdr:col>3</xdr:col>
      <xdr:colOff>295275</xdr:colOff>
      <xdr:row>6</xdr:row>
      <xdr:rowOff>3086100</xdr:rowOff>
    </xdr:from>
    <xdr:to>
      <xdr:col>4</xdr:col>
      <xdr:colOff>543120</xdr:colOff>
      <xdr:row>6</xdr:row>
      <xdr:rowOff>3752943</xdr:rowOff>
    </xdr:to>
    <xdr:pic>
      <xdr:nvPicPr>
        <xdr:cNvPr id="3" name="Imatge 2">
          <a:extLst>
            <a:ext uri="{FF2B5EF4-FFF2-40B4-BE49-F238E27FC236}">
              <a16:creationId xmlns:a16="http://schemas.microsoft.com/office/drawing/2014/main" id="{98AE8C32-3917-4387-8CF4-4941DECD0DDF}"/>
            </a:ext>
          </a:extLst>
        </xdr:cNvPr>
        <xdr:cNvPicPr>
          <a:picLocks noChangeAspect="1"/>
        </xdr:cNvPicPr>
      </xdr:nvPicPr>
      <xdr:blipFill>
        <a:blip xmlns:r="http://schemas.openxmlformats.org/officeDocument/2006/relationships" r:embed="rId3"/>
        <a:stretch>
          <a:fillRect/>
        </a:stretch>
      </xdr:blipFill>
      <xdr:spPr>
        <a:xfrm>
          <a:off x="2867025" y="5562600"/>
          <a:ext cx="1400370" cy="6668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176211</xdr:colOff>
      <xdr:row>27</xdr:row>
      <xdr:rowOff>142874</xdr:rowOff>
    </xdr:from>
    <xdr:to>
      <xdr:col>11</xdr:col>
      <xdr:colOff>311361</xdr:colOff>
      <xdr:row>53</xdr:row>
      <xdr:rowOff>20999</xdr:rowOff>
    </xdr:to>
    <xdr:graphicFrame macro="">
      <xdr:nvGraphicFramePr>
        <xdr:cNvPr id="2" name="Gràfic 1">
          <a:extLst>
            <a:ext uri="{FF2B5EF4-FFF2-40B4-BE49-F238E27FC236}">
              <a16:creationId xmlns:a16="http://schemas.microsoft.com/office/drawing/2014/main" id="{F687B0C2-79D5-182D-2DAE-34DBC7B14E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485775</xdr:colOff>
      <xdr:row>1</xdr:row>
      <xdr:rowOff>19050</xdr:rowOff>
    </xdr:from>
    <xdr:to>
      <xdr:col>2</xdr:col>
      <xdr:colOff>1200150</xdr:colOff>
      <xdr:row>1</xdr:row>
      <xdr:rowOff>649853</xdr:rowOff>
    </xdr:to>
    <xdr:pic>
      <xdr:nvPicPr>
        <xdr:cNvPr id="3" name="Imatge 2">
          <a:extLst>
            <a:ext uri="{FF2B5EF4-FFF2-40B4-BE49-F238E27FC236}">
              <a16:creationId xmlns:a16="http://schemas.microsoft.com/office/drawing/2014/main" id="{795458FB-775C-4443-A923-B62696F6CB34}"/>
            </a:ext>
          </a:extLst>
        </xdr:cNvPr>
        <xdr:cNvPicPr>
          <a:picLocks noChangeAspect="1"/>
        </xdr:cNvPicPr>
      </xdr:nvPicPr>
      <xdr:blipFill>
        <a:blip xmlns:r="http://schemas.openxmlformats.org/officeDocument/2006/relationships" r:embed="rId2"/>
        <a:stretch>
          <a:fillRect/>
        </a:stretch>
      </xdr:blipFill>
      <xdr:spPr>
        <a:xfrm>
          <a:off x="714375" y="219075"/>
          <a:ext cx="1657350" cy="630803"/>
        </a:xfrm>
        <a:prstGeom prst="rect">
          <a:avLst/>
        </a:prstGeom>
      </xdr:spPr>
    </xdr:pic>
    <xdr:clientData/>
  </xdr:twoCellAnchor>
  <xdr:twoCellAnchor editAs="oneCell">
    <xdr:from>
      <xdr:col>3</xdr:col>
      <xdr:colOff>657225</xdr:colOff>
      <xdr:row>6</xdr:row>
      <xdr:rowOff>2514600</xdr:rowOff>
    </xdr:from>
    <xdr:to>
      <xdr:col>4</xdr:col>
      <xdr:colOff>905070</xdr:colOff>
      <xdr:row>6</xdr:row>
      <xdr:rowOff>3181443</xdr:rowOff>
    </xdr:to>
    <xdr:pic>
      <xdr:nvPicPr>
        <xdr:cNvPr id="4" name="Imatge 3">
          <a:extLst>
            <a:ext uri="{FF2B5EF4-FFF2-40B4-BE49-F238E27FC236}">
              <a16:creationId xmlns:a16="http://schemas.microsoft.com/office/drawing/2014/main" id="{DCFF93CF-FECB-49B3-8FCD-FF574F7A476C}"/>
            </a:ext>
          </a:extLst>
        </xdr:cNvPr>
        <xdr:cNvPicPr>
          <a:picLocks noChangeAspect="1"/>
        </xdr:cNvPicPr>
      </xdr:nvPicPr>
      <xdr:blipFill>
        <a:blip xmlns:r="http://schemas.openxmlformats.org/officeDocument/2006/relationships" r:embed="rId3"/>
        <a:stretch>
          <a:fillRect/>
        </a:stretch>
      </xdr:blipFill>
      <xdr:spPr>
        <a:xfrm>
          <a:off x="3171825" y="4933950"/>
          <a:ext cx="1400370" cy="6668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200025</xdr:colOff>
      <xdr:row>36</xdr:row>
      <xdr:rowOff>38099</xdr:rowOff>
    </xdr:from>
    <xdr:to>
      <xdr:col>13</xdr:col>
      <xdr:colOff>57150</xdr:colOff>
      <xdr:row>60</xdr:row>
      <xdr:rowOff>57150</xdr:rowOff>
    </xdr:to>
    <xdr:graphicFrame macro="">
      <xdr:nvGraphicFramePr>
        <xdr:cNvPr id="4" name="Gràfic 3">
          <a:extLst>
            <a:ext uri="{FF2B5EF4-FFF2-40B4-BE49-F238E27FC236}">
              <a16:creationId xmlns:a16="http://schemas.microsoft.com/office/drawing/2014/main" id="{483C5C5B-391C-C60B-4F13-0FF70A3A55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115137</xdr:colOff>
      <xdr:row>64</xdr:row>
      <xdr:rowOff>31400</xdr:rowOff>
    </xdr:from>
    <xdr:to>
      <xdr:col>8</xdr:col>
      <xdr:colOff>1884066</xdr:colOff>
      <xdr:row>85</xdr:row>
      <xdr:rowOff>125604</xdr:rowOff>
    </xdr:to>
    <xdr:graphicFrame macro="">
      <xdr:nvGraphicFramePr>
        <xdr:cNvPr id="3" name="Gràfic 4">
          <a:extLst>
            <a:ext uri="{FF2B5EF4-FFF2-40B4-BE49-F238E27FC236}">
              <a16:creationId xmlns:a16="http://schemas.microsoft.com/office/drawing/2014/main" id="{7C5E2763-3498-4F01-8384-3B194F800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209341</xdr:colOff>
      <xdr:row>1</xdr:row>
      <xdr:rowOff>31401</xdr:rowOff>
    </xdr:from>
    <xdr:to>
      <xdr:col>2</xdr:col>
      <xdr:colOff>924658</xdr:colOff>
      <xdr:row>1</xdr:row>
      <xdr:rowOff>662204</xdr:rowOff>
    </xdr:to>
    <xdr:pic>
      <xdr:nvPicPr>
        <xdr:cNvPr id="5" name="Imatge 4">
          <a:extLst>
            <a:ext uri="{FF2B5EF4-FFF2-40B4-BE49-F238E27FC236}">
              <a16:creationId xmlns:a16="http://schemas.microsoft.com/office/drawing/2014/main" id="{1AF633DE-B324-4BAC-B2A9-650A4FDF2970}"/>
            </a:ext>
          </a:extLst>
        </xdr:cNvPr>
        <xdr:cNvPicPr>
          <a:picLocks noChangeAspect="1"/>
        </xdr:cNvPicPr>
      </xdr:nvPicPr>
      <xdr:blipFill>
        <a:blip xmlns:r="http://schemas.openxmlformats.org/officeDocument/2006/relationships" r:embed="rId3"/>
        <a:stretch>
          <a:fillRect/>
        </a:stretch>
      </xdr:blipFill>
      <xdr:spPr>
        <a:xfrm>
          <a:off x="439616" y="230275"/>
          <a:ext cx="1657350" cy="6308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171449</xdr:colOff>
      <xdr:row>21</xdr:row>
      <xdr:rowOff>152401</xdr:rowOff>
    </xdr:from>
    <xdr:to>
      <xdr:col>8</xdr:col>
      <xdr:colOff>209549</xdr:colOff>
      <xdr:row>34</xdr:row>
      <xdr:rowOff>161925</xdr:rowOff>
    </xdr:to>
    <xdr:graphicFrame macro="">
      <xdr:nvGraphicFramePr>
        <xdr:cNvPr id="6" name="Gràfic 2">
          <a:extLst>
            <a:ext uri="{FF2B5EF4-FFF2-40B4-BE49-F238E27FC236}">
              <a16:creationId xmlns:a16="http://schemas.microsoft.com/office/drawing/2014/main" id="{78BCA6CC-8DBE-32F7-A843-B72A8529B0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266700</xdr:colOff>
      <xdr:row>1</xdr:row>
      <xdr:rowOff>57150</xdr:rowOff>
    </xdr:from>
    <xdr:to>
      <xdr:col>2</xdr:col>
      <xdr:colOff>466725</xdr:colOff>
      <xdr:row>1</xdr:row>
      <xdr:rowOff>687953</xdr:rowOff>
    </xdr:to>
    <xdr:pic>
      <xdr:nvPicPr>
        <xdr:cNvPr id="3" name="Imatge 2">
          <a:extLst>
            <a:ext uri="{FF2B5EF4-FFF2-40B4-BE49-F238E27FC236}">
              <a16:creationId xmlns:a16="http://schemas.microsoft.com/office/drawing/2014/main" id="{154A3C87-BAC0-46A4-BA57-2EECED5D24E6}"/>
            </a:ext>
          </a:extLst>
        </xdr:cNvPr>
        <xdr:cNvPicPr>
          <a:picLocks noChangeAspect="1"/>
        </xdr:cNvPicPr>
      </xdr:nvPicPr>
      <xdr:blipFill>
        <a:blip xmlns:r="http://schemas.openxmlformats.org/officeDocument/2006/relationships" r:embed="rId2"/>
        <a:stretch>
          <a:fillRect/>
        </a:stretch>
      </xdr:blipFill>
      <xdr:spPr>
        <a:xfrm>
          <a:off x="495300" y="257175"/>
          <a:ext cx="1657350" cy="63080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171449</xdr:colOff>
      <xdr:row>21</xdr:row>
      <xdr:rowOff>152401</xdr:rowOff>
    </xdr:from>
    <xdr:to>
      <xdr:col>8</xdr:col>
      <xdr:colOff>209549</xdr:colOff>
      <xdr:row>34</xdr:row>
      <xdr:rowOff>161925</xdr:rowOff>
    </xdr:to>
    <xdr:graphicFrame macro="">
      <xdr:nvGraphicFramePr>
        <xdr:cNvPr id="3" name="Gràfic 2">
          <a:extLst>
            <a:ext uri="{FF2B5EF4-FFF2-40B4-BE49-F238E27FC236}">
              <a16:creationId xmlns:a16="http://schemas.microsoft.com/office/drawing/2014/main" id="{A9BEE5C6-9B40-42D4-9C6C-EE71C6204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619124</xdr:colOff>
      <xdr:row>1</xdr:row>
      <xdr:rowOff>23813</xdr:rowOff>
    </xdr:from>
    <xdr:to>
      <xdr:col>2</xdr:col>
      <xdr:colOff>859630</xdr:colOff>
      <xdr:row>1</xdr:row>
      <xdr:rowOff>654616</xdr:rowOff>
    </xdr:to>
    <xdr:pic>
      <xdr:nvPicPr>
        <xdr:cNvPr id="4" name="Imatge 3">
          <a:extLst>
            <a:ext uri="{FF2B5EF4-FFF2-40B4-BE49-F238E27FC236}">
              <a16:creationId xmlns:a16="http://schemas.microsoft.com/office/drawing/2014/main" id="{14FA2FAA-3772-47F8-B0B8-FFEB46B74089}"/>
            </a:ext>
          </a:extLst>
        </xdr:cNvPr>
        <xdr:cNvPicPr>
          <a:picLocks noChangeAspect="1"/>
        </xdr:cNvPicPr>
      </xdr:nvPicPr>
      <xdr:blipFill>
        <a:blip xmlns:r="http://schemas.openxmlformats.org/officeDocument/2006/relationships" r:embed="rId2"/>
        <a:stretch>
          <a:fillRect/>
        </a:stretch>
      </xdr:blipFill>
      <xdr:spPr>
        <a:xfrm>
          <a:off x="845343" y="226219"/>
          <a:ext cx="1657350" cy="63080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171449</xdr:colOff>
      <xdr:row>22</xdr:row>
      <xdr:rowOff>152401</xdr:rowOff>
    </xdr:from>
    <xdr:to>
      <xdr:col>8</xdr:col>
      <xdr:colOff>209549</xdr:colOff>
      <xdr:row>35</xdr:row>
      <xdr:rowOff>161925</xdr:rowOff>
    </xdr:to>
    <xdr:graphicFrame macro="">
      <xdr:nvGraphicFramePr>
        <xdr:cNvPr id="3" name="Gràfic 2">
          <a:extLst>
            <a:ext uri="{FF2B5EF4-FFF2-40B4-BE49-F238E27FC236}">
              <a16:creationId xmlns:a16="http://schemas.microsoft.com/office/drawing/2014/main" id="{57CCA154-F72C-45D1-9FB5-AA87CA6A4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333375</xdr:colOff>
      <xdr:row>1</xdr:row>
      <xdr:rowOff>57150</xdr:rowOff>
    </xdr:from>
    <xdr:to>
      <xdr:col>2</xdr:col>
      <xdr:colOff>238125</xdr:colOff>
      <xdr:row>1</xdr:row>
      <xdr:rowOff>687953</xdr:rowOff>
    </xdr:to>
    <xdr:pic>
      <xdr:nvPicPr>
        <xdr:cNvPr id="4" name="Imatge 3">
          <a:extLst>
            <a:ext uri="{FF2B5EF4-FFF2-40B4-BE49-F238E27FC236}">
              <a16:creationId xmlns:a16="http://schemas.microsoft.com/office/drawing/2014/main" id="{ECE0583C-2C99-488C-A0FE-564B4B9C249A}"/>
            </a:ext>
          </a:extLst>
        </xdr:cNvPr>
        <xdr:cNvPicPr>
          <a:picLocks noChangeAspect="1"/>
        </xdr:cNvPicPr>
      </xdr:nvPicPr>
      <xdr:blipFill>
        <a:blip xmlns:r="http://schemas.openxmlformats.org/officeDocument/2006/relationships" r:embed="rId2"/>
        <a:stretch>
          <a:fillRect/>
        </a:stretch>
      </xdr:blipFill>
      <xdr:spPr>
        <a:xfrm>
          <a:off x="561975" y="257175"/>
          <a:ext cx="1657350" cy="63080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152401</xdr:colOff>
      <xdr:row>36</xdr:row>
      <xdr:rowOff>57147</xdr:rowOff>
    </xdr:from>
    <xdr:ext cx="12314766" cy="6980770"/>
    <xdr:graphicFrame macro="">
      <xdr:nvGraphicFramePr>
        <xdr:cNvPr id="3" name="Chart 1" title="Gràfic">
          <a:extLst>
            <a:ext uri="{FF2B5EF4-FFF2-40B4-BE49-F238E27FC236}">
              <a16:creationId xmlns:a16="http://schemas.microsoft.com/office/drawing/2014/main" id="{743BB1B5-E436-4C6D-8243-2AB81CFCB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1</xdr:col>
      <xdr:colOff>31750</xdr:colOff>
      <xdr:row>71</xdr:row>
      <xdr:rowOff>31748</xdr:rowOff>
    </xdr:from>
    <xdr:to>
      <xdr:col>9</xdr:col>
      <xdr:colOff>1566333</xdr:colOff>
      <xdr:row>92</xdr:row>
      <xdr:rowOff>42333</xdr:rowOff>
    </xdr:to>
    <xdr:graphicFrame macro="">
      <xdr:nvGraphicFramePr>
        <xdr:cNvPr id="5" name="Gráfico 5">
          <a:extLst>
            <a:ext uri="{FF2B5EF4-FFF2-40B4-BE49-F238E27FC236}">
              <a16:creationId xmlns:a16="http://schemas.microsoft.com/office/drawing/2014/main" id="{31BD1BD6-0DB1-4BA9-9CCC-A16DC9E8E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423334</xdr:colOff>
      <xdr:row>1</xdr:row>
      <xdr:rowOff>63501</xdr:rowOff>
    </xdr:from>
    <xdr:to>
      <xdr:col>2</xdr:col>
      <xdr:colOff>1138767</xdr:colOff>
      <xdr:row>1</xdr:row>
      <xdr:rowOff>694304</xdr:rowOff>
    </xdr:to>
    <xdr:pic>
      <xdr:nvPicPr>
        <xdr:cNvPr id="2" name="Imatge 1">
          <a:extLst>
            <a:ext uri="{FF2B5EF4-FFF2-40B4-BE49-F238E27FC236}">
              <a16:creationId xmlns:a16="http://schemas.microsoft.com/office/drawing/2014/main" id="{AAE63F69-CB25-44D8-81EB-61AAF31AA7B3}"/>
            </a:ext>
          </a:extLst>
        </xdr:cNvPr>
        <xdr:cNvPicPr>
          <a:picLocks noChangeAspect="1"/>
        </xdr:cNvPicPr>
      </xdr:nvPicPr>
      <xdr:blipFill>
        <a:blip xmlns:r="http://schemas.openxmlformats.org/officeDocument/2006/relationships" r:embed="rId3"/>
        <a:stretch>
          <a:fillRect/>
        </a:stretch>
      </xdr:blipFill>
      <xdr:spPr>
        <a:xfrm>
          <a:off x="656167" y="264584"/>
          <a:ext cx="1657350" cy="63080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28574</xdr:colOff>
      <xdr:row>38</xdr:row>
      <xdr:rowOff>276223</xdr:rowOff>
    </xdr:from>
    <xdr:to>
      <xdr:col>16</xdr:col>
      <xdr:colOff>321470</xdr:colOff>
      <xdr:row>63</xdr:row>
      <xdr:rowOff>190500</xdr:rowOff>
    </xdr:to>
    <xdr:graphicFrame macro="">
      <xdr:nvGraphicFramePr>
        <xdr:cNvPr id="2" name="Gràfic 1">
          <a:extLst>
            <a:ext uri="{FF2B5EF4-FFF2-40B4-BE49-F238E27FC236}">
              <a16:creationId xmlns:a16="http://schemas.microsoft.com/office/drawing/2014/main" id="{4431746C-12A2-DD13-DDD2-C701F3ECA7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889000</xdr:colOff>
      <xdr:row>66</xdr:row>
      <xdr:rowOff>41273</xdr:rowOff>
    </xdr:from>
    <xdr:to>
      <xdr:col>11</xdr:col>
      <xdr:colOff>285749</xdr:colOff>
      <xdr:row>88</xdr:row>
      <xdr:rowOff>74083</xdr:rowOff>
    </xdr:to>
    <xdr:graphicFrame macro="">
      <xdr:nvGraphicFramePr>
        <xdr:cNvPr id="3" name="Gráfico 2">
          <a:extLst>
            <a:ext uri="{FF2B5EF4-FFF2-40B4-BE49-F238E27FC236}">
              <a16:creationId xmlns:a16="http://schemas.microsoft.com/office/drawing/2014/main" id="{46CD943A-A2C1-94DB-6DB3-5B1771A65C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359834</xdr:colOff>
      <xdr:row>1</xdr:row>
      <xdr:rowOff>21167</xdr:rowOff>
    </xdr:from>
    <xdr:to>
      <xdr:col>2</xdr:col>
      <xdr:colOff>1075267</xdr:colOff>
      <xdr:row>1</xdr:row>
      <xdr:rowOff>651970</xdr:rowOff>
    </xdr:to>
    <xdr:pic>
      <xdr:nvPicPr>
        <xdr:cNvPr id="4" name="Imatge 3">
          <a:extLst>
            <a:ext uri="{FF2B5EF4-FFF2-40B4-BE49-F238E27FC236}">
              <a16:creationId xmlns:a16="http://schemas.microsoft.com/office/drawing/2014/main" id="{58024FAA-3772-4D26-8B3E-14CA81B5E45C}"/>
            </a:ext>
          </a:extLst>
        </xdr:cNvPr>
        <xdr:cNvPicPr>
          <a:picLocks noChangeAspect="1"/>
        </xdr:cNvPicPr>
      </xdr:nvPicPr>
      <xdr:blipFill>
        <a:blip xmlns:r="http://schemas.openxmlformats.org/officeDocument/2006/relationships" r:embed="rId3"/>
        <a:stretch>
          <a:fillRect/>
        </a:stretch>
      </xdr:blipFill>
      <xdr:spPr>
        <a:xfrm>
          <a:off x="592667" y="222250"/>
          <a:ext cx="1657350" cy="6308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204786</xdr:colOff>
      <xdr:row>31</xdr:row>
      <xdr:rowOff>200024</xdr:rowOff>
    </xdr:from>
    <xdr:to>
      <xdr:col>12</xdr:col>
      <xdr:colOff>266700</xdr:colOff>
      <xdr:row>63</xdr:row>
      <xdr:rowOff>38100</xdr:rowOff>
    </xdr:to>
    <xdr:graphicFrame macro="">
      <xdr:nvGraphicFramePr>
        <xdr:cNvPr id="2" name="Gràfic 1">
          <a:extLst>
            <a:ext uri="{FF2B5EF4-FFF2-40B4-BE49-F238E27FC236}">
              <a16:creationId xmlns:a16="http://schemas.microsoft.com/office/drawing/2014/main" id="{0F0FFE1F-7098-BB6B-04EA-3557A1364B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285750</xdr:colOff>
      <xdr:row>1</xdr:row>
      <xdr:rowOff>57150</xdr:rowOff>
    </xdr:from>
    <xdr:to>
      <xdr:col>2</xdr:col>
      <xdr:colOff>1000125</xdr:colOff>
      <xdr:row>1</xdr:row>
      <xdr:rowOff>687953</xdr:rowOff>
    </xdr:to>
    <xdr:pic>
      <xdr:nvPicPr>
        <xdr:cNvPr id="5" name="Imatge 4">
          <a:extLst>
            <a:ext uri="{FF2B5EF4-FFF2-40B4-BE49-F238E27FC236}">
              <a16:creationId xmlns:a16="http://schemas.microsoft.com/office/drawing/2014/main" id="{F7CE131F-1819-4719-8F33-056443BB297E}"/>
            </a:ext>
          </a:extLst>
        </xdr:cNvPr>
        <xdr:cNvPicPr>
          <a:picLocks noChangeAspect="1"/>
        </xdr:cNvPicPr>
      </xdr:nvPicPr>
      <xdr:blipFill>
        <a:blip xmlns:r="http://schemas.openxmlformats.org/officeDocument/2006/relationships" r:embed="rId2"/>
        <a:stretch>
          <a:fillRect/>
        </a:stretch>
      </xdr:blipFill>
      <xdr:spPr>
        <a:xfrm>
          <a:off x="514350" y="257175"/>
          <a:ext cx="1657350" cy="63080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1175</xdr:colOff>
      <xdr:row>28</xdr:row>
      <xdr:rowOff>284513</xdr:rowOff>
    </xdr:from>
    <xdr:to>
      <xdr:col>10</xdr:col>
      <xdr:colOff>2436916</xdr:colOff>
      <xdr:row>46</xdr:row>
      <xdr:rowOff>86591</xdr:rowOff>
    </xdr:to>
    <xdr:graphicFrame macro="">
      <xdr:nvGraphicFramePr>
        <xdr:cNvPr id="2" name="Gràfic 1">
          <a:extLst>
            <a:ext uri="{FF2B5EF4-FFF2-40B4-BE49-F238E27FC236}">
              <a16:creationId xmlns:a16="http://schemas.microsoft.com/office/drawing/2014/main" id="{92E2EB89-B4DF-4CD0-1FFE-4589E2E7B9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692728</xdr:colOff>
      <xdr:row>1</xdr:row>
      <xdr:rowOff>61851</xdr:rowOff>
    </xdr:from>
    <xdr:to>
      <xdr:col>2</xdr:col>
      <xdr:colOff>1409948</xdr:colOff>
      <xdr:row>1</xdr:row>
      <xdr:rowOff>692654</xdr:rowOff>
    </xdr:to>
    <xdr:pic>
      <xdr:nvPicPr>
        <xdr:cNvPr id="3" name="Imatge 2">
          <a:extLst>
            <a:ext uri="{FF2B5EF4-FFF2-40B4-BE49-F238E27FC236}">
              <a16:creationId xmlns:a16="http://schemas.microsoft.com/office/drawing/2014/main" id="{6FC746B5-85D0-42AD-B2B9-79120B489625}"/>
            </a:ext>
          </a:extLst>
        </xdr:cNvPr>
        <xdr:cNvPicPr>
          <a:picLocks noChangeAspect="1"/>
        </xdr:cNvPicPr>
      </xdr:nvPicPr>
      <xdr:blipFill>
        <a:blip xmlns:r="http://schemas.openxmlformats.org/officeDocument/2006/relationships" r:embed="rId2"/>
        <a:stretch>
          <a:fillRect/>
        </a:stretch>
      </xdr:blipFill>
      <xdr:spPr>
        <a:xfrm>
          <a:off x="915390" y="259773"/>
          <a:ext cx="1657350" cy="6308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104775</xdr:colOff>
      <xdr:row>19</xdr:row>
      <xdr:rowOff>190500</xdr:rowOff>
    </xdr:from>
    <xdr:ext cx="6038850" cy="3390900"/>
    <xdr:graphicFrame macro="">
      <xdr:nvGraphicFramePr>
        <xdr:cNvPr id="6" name="Chart 1" title="Gràfic">
          <a:extLst>
            <a:ext uri="{FF2B5EF4-FFF2-40B4-BE49-F238E27FC236}">
              <a16:creationId xmlns:a16="http://schemas.microsoft.com/office/drawing/2014/main" id="{A95C1F0D-DC28-4061-902F-F7FBC21A2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762000</xdr:colOff>
      <xdr:row>1</xdr:row>
      <xdr:rowOff>28575</xdr:rowOff>
    </xdr:from>
    <xdr:to>
      <xdr:col>2</xdr:col>
      <xdr:colOff>1476375</xdr:colOff>
      <xdr:row>1</xdr:row>
      <xdr:rowOff>659378</xdr:rowOff>
    </xdr:to>
    <xdr:pic>
      <xdr:nvPicPr>
        <xdr:cNvPr id="4" name="Imatge 3">
          <a:extLst>
            <a:ext uri="{FF2B5EF4-FFF2-40B4-BE49-F238E27FC236}">
              <a16:creationId xmlns:a16="http://schemas.microsoft.com/office/drawing/2014/main" id="{F93A8261-C01B-B870-7002-7C120A0208A4}"/>
            </a:ext>
          </a:extLst>
        </xdr:cNvPr>
        <xdr:cNvPicPr>
          <a:picLocks noChangeAspect="1"/>
        </xdr:cNvPicPr>
      </xdr:nvPicPr>
      <xdr:blipFill>
        <a:blip xmlns:r="http://schemas.openxmlformats.org/officeDocument/2006/relationships" r:embed="rId2"/>
        <a:stretch>
          <a:fillRect/>
        </a:stretch>
      </xdr:blipFill>
      <xdr:spPr>
        <a:xfrm>
          <a:off x="990600" y="228600"/>
          <a:ext cx="1657350" cy="63080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30</xdr:row>
      <xdr:rowOff>76198</xdr:rowOff>
    </xdr:from>
    <xdr:to>
      <xdr:col>12</xdr:col>
      <xdr:colOff>303069</xdr:colOff>
      <xdr:row>68</xdr:row>
      <xdr:rowOff>43048</xdr:rowOff>
    </xdr:to>
    <xdr:graphicFrame macro="">
      <xdr:nvGraphicFramePr>
        <xdr:cNvPr id="5" name="Gràfic 4">
          <a:extLst>
            <a:ext uri="{FF2B5EF4-FFF2-40B4-BE49-F238E27FC236}">
              <a16:creationId xmlns:a16="http://schemas.microsoft.com/office/drawing/2014/main" id="{1C903D61-8FDD-760D-B289-60C8D36A2C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259773</xdr:colOff>
      <xdr:row>1</xdr:row>
      <xdr:rowOff>60613</xdr:rowOff>
    </xdr:from>
    <xdr:to>
      <xdr:col>2</xdr:col>
      <xdr:colOff>609600</xdr:colOff>
      <xdr:row>1</xdr:row>
      <xdr:rowOff>691416</xdr:rowOff>
    </xdr:to>
    <xdr:pic>
      <xdr:nvPicPr>
        <xdr:cNvPr id="2" name="Imatge 1">
          <a:extLst>
            <a:ext uri="{FF2B5EF4-FFF2-40B4-BE49-F238E27FC236}">
              <a16:creationId xmlns:a16="http://schemas.microsoft.com/office/drawing/2014/main" id="{5AAC11BA-475E-4203-AEF0-B6E82D3B8580}"/>
            </a:ext>
          </a:extLst>
        </xdr:cNvPr>
        <xdr:cNvPicPr>
          <a:picLocks noChangeAspect="1"/>
        </xdr:cNvPicPr>
      </xdr:nvPicPr>
      <xdr:blipFill>
        <a:blip xmlns:r="http://schemas.openxmlformats.org/officeDocument/2006/relationships" r:embed="rId2"/>
        <a:stretch>
          <a:fillRect/>
        </a:stretch>
      </xdr:blipFill>
      <xdr:spPr>
        <a:xfrm>
          <a:off x="865909" y="225136"/>
          <a:ext cx="1657350" cy="63080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114300</xdr:colOff>
      <xdr:row>40</xdr:row>
      <xdr:rowOff>38099</xdr:rowOff>
    </xdr:from>
    <xdr:to>
      <xdr:col>9</xdr:col>
      <xdr:colOff>2228850</xdr:colOff>
      <xdr:row>63</xdr:row>
      <xdr:rowOff>161924</xdr:rowOff>
    </xdr:to>
    <xdr:graphicFrame macro="">
      <xdr:nvGraphicFramePr>
        <xdr:cNvPr id="2" name="Gràfic 1">
          <a:extLst>
            <a:ext uri="{FF2B5EF4-FFF2-40B4-BE49-F238E27FC236}">
              <a16:creationId xmlns:a16="http://schemas.microsoft.com/office/drawing/2014/main" id="{1890833F-4765-B2DE-59CF-D6790CB631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666750</xdr:colOff>
      <xdr:row>1</xdr:row>
      <xdr:rowOff>28575</xdr:rowOff>
    </xdr:from>
    <xdr:to>
      <xdr:col>3</xdr:col>
      <xdr:colOff>200025</xdr:colOff>
      <xdr:row>1</xdr:row>
      <xdr:rowOff>659378</xdr:rowOff>
    </xdr:to>
    <xdr:pic>
      <xdr:nvPicPr>
        <xdr:cNvPr id="3" name="Imatge 2">
          <a:extLst>
            <a:ext uri="{FF2B5EF4-FFF2-40B4-BE49-F238E27FC236}">
              <a16:creationId xmlns:a16="http://schemas.microsoft.com/office/drawing/2014/main" id="{A64DE1D9-DA4A-4F8F-80A6-45E4840F7A7E}"/>
            </a:ext>
          </a:extLst>
        </xdr:cNvPr>
        <xdr:cNvPicPr>
          <a:picLocks noChangeAspect="1"/>
        </xdr:cNvPicPr>
      </xdr:nvPicPr>
      <xdr:blipFill>
        <a:blip xmlns:r="http://schemas.openxmlformats.org/officeDocument/2006/relationships" r:embed="rId2"/>
        <a:stretch>
          <a:fillRect/>
        </a:stretch>
      </xdr:blipFill>
      <xdr:spPr>
        <a:xfrm>
          <a:off x="895350" y="228600"/>
          <a:ext cx="1657350" cy="63080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201084</xdr:colOff>
      <xdr:row>29</xdr:row>
      <xdr:rowOff>105833</xdr:rowOff>
    </xdr:from>
    <xdr:to>
      <xdr:col>15</xdr:col>
      <xdr:colOff>158751</xdr:colOff>
      <xdr:row>62</xdr:row>
      <xdr:rowOff>63499</xdr:rowOff>
    </xdr:to>
    <xdr:graphicFrame macro="">
      <xdr:nvGraphicFramePr>
        <xdr:cNvPr id="2" name="Gràfic 1">
          <a:extLst>
            <a:ext uri="{FF2B5EF4-FFF2-40B4-BE49-F238E27FC236}">
              <a16:creationId xmlns:a16="http://schemas.microsoft.com/office/drawing/2014/main" id="{B103AFBD-4A26-E3B0-27DA-3D86E5A2E0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201084</xdr:colOff>
      <xdr:row>1</xdr:row>
      <xdr:rowOff>42333</xdr:rowOff>
    </xdr:from>
    <xdr:to>
      <xdr:col>2</xdr:col>
      <xdr:colOff>916517</xdr:colOff>
      <xdr:row>1</xdr:row>
      <xdr:rowOff>673136</xdr:rowOff>
    </xdr:to>
    <xdr:pic>
      <xdr:nvPicPr>
        <xdr:cNvPr id="4" name="Imatge 3">
          <a:extLst>
            <a:ext uri="{FF2B5EF4-FFF2-40B4-BE49-F238E27FC236}">
              <a16:creationId xmlns:a16="http://schemas.microsoft.com/office/drawing/2014/main" id="{5DA88EE7-5C58-47B4-ACA2-3960810C2595}"/>
            </a:ext>
          </a:extLst>
        </xdr:cNvPr>
        <xdr:cNvPicPr>
          <a:picLocks noChangeAspect="1"/>
        </xdr:cNvPicPr>
      </xdr:nvPicPr>
      <xdr:blipFill>
        <a:blip xmlns:r="http://schemas.openxmlformats.org/officeDocument/2006/relationships" r:embed="rId2"/>
        <a:stretch>
          <a:fillRect/>
        </a:stretch>
      </xdr:blipFill>
      <xdr:spPr>
        <a:xfrm>
          <a:off x="433917" y="243416"/>
          <a:ext cx="1657350" cy="63080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157160</xdr:colOff>
      <xdr:row>31</xdr:row>
      <xdr:rowOff>142874</xdr:rowOff>
    </xdr:from>
    <xdr:to>
      <xdr:col>12</xdr:col>
      <xdr:colOff>342900</xdr:colOff>
      <xdr:row>58</xdr:row>
      <xdr:rowOff>190500</xdr:rowOff>
    </xdr:to>
    <xdr:graphicFrame macro="">
      <xdr:nvGraphicFramePr>
        <xdr:cNvPr id="2" name="Gràfic 1">
          <a:extLst>
            <a:ext uri="{FF2B5EF4-FFF2-40B4-BE49-F238E27FC236}">
              <a16:creationId xmlns:a16="http://schemas.microsoft.com/office/drawing/2014/main" id="{AE91A4D4-76A6-ADAE-D114-4E59134F1A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431132</xdr:colOff>
      <xdr:row>1</xdr:row>
      <xdr:rowOff>20053</xdr:rowOff>
    </xdr:from>
    <xdr:to>
      <xdr:col>3</xdr:col>
      <xdr:colOff>13034</xdr:colOff>
      <xdr:row>1</xdr:row>
      <xdr:rowOff>650856</xdr:rowOff>
    </xdr:to>
    <xdr:pic>
      <xdr:nvPicPr>
        <xdr:cNvPr id="3" name="Imatge 2">
          <a:extLst>
            <a:ext uri="{FF2B5EF4-FFF2-40B4-BE49-F238E27FC236}">
              <a16:creationId xmlns:a16="http://schemas.microsoft.com/office/drawing/2014/main" id="{7F1B8E62-5B41-43EB-8EC8-95A55FAF751E}"/>
            </a:ext>
          </a:extLst>
        </xdr:cNvPr>
        <xdr:cNvPicPr>
          <a:picLocks noChangeAspect="1"/>
        </xdr:cNvPicPr>
      </xdr:nvPicPr>
      <xdr:blipFill>
        <a:blip xmlns:r="http://schemas.openxmlformats.org/officeDocument/2006/relationships" r:embed="rId2"/>
        <a:stretch>
          <a:fillRect/>
        </a:stretch>
      </xdr:blipFill>
      <xdr:spPr>
        <a:xfrm>
          <a:off x="661737" y="220579"/>
          <a:ext cx="1657350" cy="63080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14286</xdr:colOff>
      <xdr:row>39</xdr:row>
      <xdr:rowOff>152398</xdr:rowOff>
    </xdr:from>
    <xdr:to>
      <xdr:col>20</xdr:col>
      <xdr:colOff>202406</xdr:colOff>
      <xdr:row>73</xdr:row>
      <xdr:rowOff>130968</xdr:rowOff>
    </xdr:to>
    <xdr:graphicFrame macro="">
      <xdr:nvGraphicFramePr>
        <xdr:cNvPr id="2" name="Gràfic 1">
          <a:extLst>
            <a:ext uri="{FF2B5EF4-FFF2-40B4-BE49-F238E27FC236}">
              <a16:creationId xmlns:a16="http://schemas.microsoft.com/office/drawing/2014/main" id="{D330D07F-0E7F-873A-9497-9F13A72519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201084</xdr:colOff>
      <xdr:row>1</xdr:row>
      <xdr:rowOff>21167</xdr:rowOff>
    </xdr:from>
    <xdr:to>
      <xdr:col>2</xdr:col>
      <xdr:colOff>916517</xdr:colOff>
      <xdr:row>1</xdr:row>
      <xdr:rowOff>651970</xdr:rowOff>
    </xdr:to>
    <xdr:pic>
      <xdr:nvPicPr>
        <xdr:cNvPr id="4" name="Imatge 3">
          <a:extLst>
            <a:ext uri="{FF2B5EF4-FFF2-40B4-BE49-F238E27FC236}">
              <a16:creationId xmlns:a16="http://schemas.microsoft.com/office/drawing/2014/main" id="{C8221FAF-0143-4380-B4CC-0C1804202F00}"/>
            </a:ext>
          </a:extLst>
        </xdr:cNvPr>
        <xdr:cNvPicPr>
          <a:picLocks noChangeAspect="1"/>
        </xdr:cNvPicPr>
      </xdr:nvPicPr>
      <xdr:blipFill>
        <a:blip xmlns:r="http://schemas.openxmlformats.org/officeDocument/2006/relationships" r:embed="rId2"/>
        <a:stretch>
          <a:fillRect/>
        </a:stretch>
      </xdr:blipFill>
      <xdr:spPr>
        <a:xfrm>
          <a:off x="433917" y="306917"/>
          <a:ext cx="1657350" cy="63080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228599</xdr:colOff>
      <xdr:row>39</xdr:row>
      <xdr:rowOff>0</xdr:rowOff>
    </xdr:from>
    <xdr:to>
      <xdr:col>12</xdr:col>
      <xdr:colOff>390525</xdr:colOff>
      <xdr:row>65</xdr:row>
      <xdr:rowOff>104775</xdr:rowOff>
    </xdr:to>
    <xdr:graphicFrame macro="">
      <xdr:nvGraphicFramePr>
        <xdr:cNvPr id="5" name="Gràfic 4">
          <a:extLst>
            <a:ext uri="{FF2B5EF4-FFF2-40B4-BE49-F238E27FC236}">
              <a16:creationId xmlns:a16="http://schemas.microsoft.com/office/drawing/2014/main" id="{E05573DA-B6B7-4971-B564-1C7B644B4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304800</xdr:colOff>
      <xdr:row>1</xdr:row>
      <xdr:rowOff>19050</xdr:rowOff>
    </xdr:from>
    <xdr:to>
      <xdr:col>2</xdr:col>
      <xdr:colOff>1019175</xdr:colOff>
      <xdr:row>1</xdr:row>
      <xdr:rowOff>649853</xdr:rowOff>
    </xdr:to>
    <xdr:pic>
      <xdr:nvPicPr>
        <xdr:cNvPr id="3" name="Imatge 2">
          <a:extLst>
            <a:ext uri="{FF2B5EF4-FFF2-40B4-BE49-F238E27FC236}">
              <a16:creationId xmlns:a16="http://schemas.microsoft.com/office/drawing/2014/main" id="{B7B30A74-B198-4A99-9D61-0D2E423EA8F4}"/>
            </a:ext>
          </a:extLst>
        </xdr:cNvPr>
        <xdr:cNvPicPr>
          <a:picLocks noChangeAspect="1"/>
        </xdr:cNvPicPr>
      </xdr:nvPicPr>
      <xdr:blipFill>
        <a:blip xmlns:r="http://schemas.openxmlformats.org/officeDocument/2006/relationships" r:embed="rId2"/>
        <a:stretch>
          <a:fillRect/>
        </a:stretch>
      </xdr:blipFill>
      <xdr:spPr>
        <a:xfrm>
          <a:off x="533400" y="219075"/>
          <a:ext cx="1657350" cy="63080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14286</xdr:colOff>
      <xdr:row>38</xdr:row>
      <xdr:rowOff>219074</xdr:rowOff>
    </xdr:from>
    <xdr:to>
      <xdr:col>11</xdr:col>
      <xdr:colOff>95251</xdr:colOff>
      <xdr:row>69</xdr:row>
      <xdr:rowOff>190500</xdr:rowOff>
    </xdr:to>
    <xdr:graphicFrame macro="">
      <xdr:nvGraphicFramePr>
        <xdr:cNvPr id="2" name="Gràfic 1">
          <a:extLst>
            <a:ext uri="{FF2B5EF4-FFF2-40B4-BE49-F238E27FC236}">
              <a16:creationId xmlns:a16="http://schemas.microsoft.com/office/drawing/2014/main" id="{CFC797B1-F3D2-1B30-FA61-CB1ECE74C4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148166</xdr:colOff>
      <xdr:row>1</xdr:row>
      <xdr:rowOff>52917</xdr:rowOff>
    </xdr:from>
    <xdr:to>
      <xdr:col>2</xdr:col>
      <xdr:colOff>863599</xdr:colOff>
      <xdr:row>1</xdr:row>
      <xdr:rowOff>683720</xdr:rowOff>
    </xdr:to>
    <xdr:pic>
      <xdr:nvPicPr>
        <xdr:cNvPr id="3" name="Imatge 2">
          <a:extLst>
            <a:ext uri="{FF2B5EF4-FFF2-40B4-BE49-F238E27FC236}">
              <a16:creationId xmlns:a16="http://schemas.microsoft.com/office/drawing/2014/main" id="{FCD27D0D-2251-43E6-980E-9975E3D1EC37}"/>
            </a:ext>
          </a:extLst>
        </xdr:cNvPr>
        <xdr:cNvPicPr>
          <a:picLocks noChangeAspect="1"/>
        </xdr:cNvPicPr>
      </xdr:nvPicPr>
      <xdr:blipFill>
        <a:blip xmlns:r="http://schemas.openxmlformats.org/officeDocument/2006/relationships" r:embed="rId2"/>
        <a:stretch>
          <a:fillRect/>
        </a:stretch>
      </xdr:blipFill>
      <xdr:spPr>
        <a:xfrm>
          <a:off x="380999" y="254000"/>
          <a:ext cx="1657350" cy="63080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185735</xdr:colOff>
      <xdr:row>40</xdr:row>
      <xdr:rowOff>228600</xdr:rowOff>
    </xdr:from>
    <xdr:to>
      <xdr:col>11</xdr:col>
      <xdr:colOff>504824</xdr:colOff>
      <xdr:row>61</xdr:row>
      <xdr:rowOff>47625</xdr:rowOff>
    </xdr:to>
    <xdr:graphicFrame macro="">
      <xdr:nvGraphicFramePr>
        <xdr:cNvPr id="2" name="Gràfic 1">
          <a:extLst>
            <a:ext uri="{FF2B5EF4-FFF2-40B4-BE49-F238E27FC236}">
              <a16:creationId xmlns:a16="http://schemas.microsoft.com/office/drawing/2014/main" id="{897AB7DA-5C56-E749-B45F-3DA6F4A31E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95250</xdr:colOff>
      <xdr:row>1</xdr:row>
      <xdr:rowOff>57150</xdr:rowOff>
    </xdr:from>
    <xdr:to>
      <xdr:col>2</xdr:col>
      <xdr:colOff>809625</xdr:colOff>
      <xdr:row>1</xdr:row>
      <xdr:rowOff>687953</xdr:rowOff>
    </xdr:to>
    <xdr:pic>
      <xdr:nvPicPr>
        <xdr:cNvPr id="5" name="Imatge 4">
          <a:extLst>
            <a:ext uri="{FF2B5EF4-FFF2-40B4-BE49-F238E27FC236}">
              <a16:creationId xmlns:a16="http://schemas.microsoft.com/office/drawing/2014/main" id="{7D547256-CADB-4F21-A3C3-0BA3FB64FA3F}"/>
            </a:ext>
          </a:extLst>
        </xdr:cNvPr>
        <xdr:cNvPicPr>
          <a:picLocks noChangeAspect="1"/>
        </xdr:cNvPicPr>
      </xdr:nvPicPr>
      <xdr:blipFill>
        <a:blip xmlns:r="http://schemas.openxmlformats.org/officeDocument/2006/relationships" r:embed="rId2"/>
        <a:stretch>
          <a:fillRect/>
        </a:stretch>
      </xdr:blipFill>
      <xdr:spPr>
        <a:xfrm>
          <a:off x="323850" y="257175"/>
          <a:ext cx="1657350" cy="63080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180975</xdr:colOff>
      <xdr:row>35</xdr:row>
      <xdr:rowOff>9524</xdr:rowOff>
    </xdr:from>
    <xdr:to>
      <xdr:col>9</xdr:col>
      <xdr:colOff>1181099</xdr:colOff>
      <xdr:row>56</xdr:row>
      <xdr:rowOff>9525</xdr:rowOff>
    </xdr:to>
    <xdr:graphicFrame macro="">
      <xdr:nvGraphicFramePr>
        <xdr:cNvPr id="2" name="Gràfic 1">
          <a:extLst>
            <a:ext uri="{FF2B5EF4-FFF2-40B4-BE49-F238E27FC236}">
              <a16:creationId xmlns:a16="http://schemas.microsoft.com/office/drawing/2014/main" id="{D816CF83-B900-01BE-140E-83BC6C35D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323850</xdr:colOff>
      <xdr:row>1</xdr:row>
      <xdr:rowOff>38100</xdr:rowOff>
    </xdr:from>
    <xdr:to>
      <xdr:col>2</xdr:col>
      <xdr:colOff>1038225</xdr:colOff>
      <xdr:row>1</xdr:row>
      <xdr:rowOff>668903</xdr:rowOff>
    </xdr:to>
    <xdr:pic>
      <xdr:nvPicPr>
        <xdr:cNvPr id="3" name="Imatge 2">
          <a:extLst>
            <a:ext uri="{FF2B5EF4-FFF2-40B4-BE49-F238E27FC236}">
              <a16:creationId xmlns:a16="http://schemas.microsoft.com/office/drawing/2014/main" id="{DBE0C2AB-924E-4979-9428-D78EDB05A0CF}"/>
            </a:ext>
          </a:extLst>
        </xdr:cNvPr>
        <xdr:cNvPicPr>
          <a:picLocks noChangeAspect="1"/>
        </xdr:cNvPicPr>
      </xdr:nvPicPr>
      <xdr:blipFill>
        <a:blip xmlns:r="http://schemas.openxmlformats.org/officeDocument/2006/relationships" r:embed="rId2"/>
        <a:stretch>
          <a:fillRect/>
        </a:stretch>
      </xdr:blipFill>
      <xdr:spPr>
        <a:xfrm>
          <a:off x="552450" y="238125"/>
          <a:ext cx="1657350" cy="6308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85725</xdr:colOff>
      <xdr:row>31</xdr:row>
      <xdr:rowOff>95249</xdr:rowOff>
    </xdr:from>
    <xdr:to>
      <xdr:col>12</xdr:col>
      <xdr:colOff>152400</xdr:colOff>
      <xdr:row>50</xdr:row>
      <xdr:rowOff>19050</xdr:rowOff>
    </xdr:to>
    <xdr:graphicFrame macro="">
      <xdr:nvGraphicFramePr>
        <xdr:cNvPr id="2" name="Gràfic 1">
          <a:extLst>
            <a:ext uri="{FF2B5EF4-FFF2-40B4-BE49-F238E27FC236}">
              <a16:creationId xmlns:a16="http://schemas.microsoft.com/office/drawing/2014/main" id="{3A527272-C1D0-EA4E-B4E0-FAA273961D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714375</xdr:colOff>
      <xdr:row>1</xdr:row>
      <xdr:rowOff>19050</xdr:rowOff>
    </xdr:from>
    <xdr:to>
      <xdr:col>1</xdr:col>
      <xdr:colOff>2371725</xdr:colOff>
      <xdr:row>1</xdr:row>
      <xdr:rowOff>649853</xdr:rowOff>
    </xdr:to>
    <xdr:pic>
      <xdr:nvPicPr>
        <xdr:cNvPr id="4" name="Imatge 3">
          <a:extLst>
            <a:ext uri="{FF2B5EF4-FFF2-40B4-BE49-F238E27FC236}">
              <a16:creationId xmlns:a16="http://schemas.microsoft.com/office/drawing/2014/main" id="{7751D3DE-4D15-44E8-87EA-B1EE7CD26B4B}"/>
            </a:ext>
          </a:extLst>
        </xdr:cNvPr>
        <xdr:cNvPicPr>
          <a:picLocks noChangeAspect="1"/>
        </xdr:cNvPicPr>
      </xdr:nvPicPr>
      <xdr:blipFill>
        <a:blip xmlns:r="http://schemas.openxmlformats.org/officeDocument/2006/relationships" r:embed="rId2"/>
        <a:stretch>
          <a:fillRect/>
        </a:stretch>
      </xdr:blipFill>
      <xdr:spPr>
        <a:xfrm>
          <a:off x="942975" y="219075"/>
          <a:ext cx="1657350" cy="6308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209550</xdr:colOff>
      <xdr:row>19</xdr:row>
      <xdr:rowOff>133350</xdr:rowOff>
    </xdr:from>
    <xdr:to>
      <xdr:col>6</xdr:col>
      <xdr:colOff>257175</xdr:colOff>
      <xdr:row>29</xdr:row>
      <xdr:rowOff>228600</xdr:rowOff>
    </xdr:to>
    <xdr:graphicFrame macro="">
      <xdr:nvGraphicFramePr>
        <xdr:cNvPr id="4" name="Gràfic 3">
          <a:extLst>
            <a:ext uri="{FF2B5EF4-FFF2-40B4-BE49-F238E27FC236}">
              <a16:creationId xmlns:a16="http://schemas.microsoft.com/office/drawing/2014/main" id="{A86228C5-3A54-EA7C-A799-287704EB58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762000</xdr:colOff>
      <xdr:row>1</xdr:row>
      <xdr:rowOff>28575</xdr:rowOff>
    </xdr:from>
    <xdr:to>
      <xdr:col>3</xdr:col>
      <xdr:colOff>0</xdr:colOff>
      <xdr:row>1</xdr:row>
      <xdr:rowOff>659378</xdr:rowOff>
    </xdr:to>
    <xdr:pic>
      <xdr:nvPicPr>
        <xdr:cNvPr id="3" name="Imatge 2">
          <a:extLst>
            <a:ext uri="{FF2B5EF4-FFF2-40B4-BE49-F238E27FC236}">
              <a16:creationId xmlns:a16="http://schemas.microsoft.com/office/drawing/2014/main" id="{2EBAF440-1272-49D8-80EF-EBECE59DBDF4}"/>
            </a:ext>
          </a:extLst>
        </xdr:cNvPr>
        <xdr:cNvPicPr>
          <a:picLocks noChangeAspect="1"/>
        </xdr:cNvPicPr>
      </xdr:nvPicPr>
      <xdr:blipFill>
        <a:blip xmlns:r="http://schemas.openxmlformats.org/officeDocument/2006/relationships" r:embed="rId2"/>
        <a:stretch>
          <a:fillRect/>
        </a:stretch>
      </xdr:blipFill>
      <xdr:spPr>
        <a:xfrm>
          <a:off x="990600" y="228600"/>
          <a:ext cx="1657350" cy="6308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71437</xdr:colOff>
      <xdr:row>33</xdr:row>
      <xdr:rowOff>85725</xdr:rowOff>
    </xdr:from>
    <xdr:to>
      <xdr:col>9</xdr:col>
      <xdr:colOff>695325</xdr:colOff>
      <xdr:row>46</xdr:row>
      <xdr:rowOff>123825</xdr:rowOff>
    </xdr:to>
    <xdr:graphicFrame macro="">
      <xdr:nvGraphicFramePr>
        <xdr:cNvPr id="3" name="Gràfic 2">
          <a:extLst>
            <a:ext uri="{FF2B5EF4-FFF2-40B4-BE49-F238E27FC236}">
              <a16:creationId xmlns:a16="http://schemas.microsoft.com/office/drawing/2014/main" id="{DB086642-D764-A150-27CE-18B4E46D14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180975</xdr:colOff>
      <xdr:row>1</xdr:row>
      <xdr:rowOff>9525</xdr:rowOff>
    </xdr:from>
    <xdr:to>
      <xdr:col>2</xdr:col>
      <xdr:colOff>895350</xdr:colOff>
      <xdr:row>1</xdr:row>
      <xdr:rowOff>640328</xdr:rowOff>
    </xdr:to>
    <xdr:pic>
      <xdr:nvPicPr>
        <xdr:cNvPr id="5" name="Imatge 4">
          <a:extLst>
            <a:ext uri="{FF2B5EF4-FFF2-40B4-BE49-F238E27FC236}">
              <a16:creationId xmlns:a16="http://schemas.microsoft.com/office/drawing/2014/main" id="{D32DC28A-5A5D-46D4-9820-17444F759642}"/>
            </a:ext>
          </a:extLst>
        </xdr:cNvPr>
        <xdr:cNvPicPr>
          <a:picLocks noChangeAspect="1"/>
        </xdr:cNvPicPr>
      </xdr:nvPicPr>
      <xdr:blipFill>
        <a:blip xmlns:r="http://schemas.openxmlformats.org/officeDocument/2006/relationships" r:embed="rId2"/>
        <a:stretch>
          <a:fillRect/>
        </a:stretch>
      </xdr:blipFill>
      <xdr:spPr>
        <a:xfrm>
          <a:off x="409575" y="209550"/>
          <a:ext cx="1657350" cy="63080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166687</xdr:colOff>
      <xdr:row>28</xdr:row>
      <xdr:rowOff>85725</xdr:rowOff>
    </xdr:from>
    <xdr:to>
      <xdr:col>5</xdr:col>
      <xdr:colOff>600075</xdr:colOff>
      <xdr:row>38</xdr:row>
      <xdr:rowOff>171451</xdr:rowOff>
    </xdr:to>
    <xdr:graphicFrame macro="">
      <xdr:nvGraphicFramePr>
        <xdr:cNvPr id="2" name="Gràfic 1">
          <a:extLst>
            <a:ext uri="{FF2B5EF4-FFF2-40B4-BE49-F238E27FC236}">
              <a16:creationId xmlns:a16="http://schemas.microsoft.com/office/drawing/2014/main" id="{A42DBCB0-ACD9-9429-DBC4-BCA1B018BF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571500</xdr:colOff>
      <xdr:row>1</xdr:row>
      <xdr:rowOff>19050</xdr:rowOff>
    </xdr:from>
    <xdr:to>
      <xdr:col>1</xdr:col>
      <xdr:colOff>2228850</xdr:colOff>
      <xdr:row>1</xdr:row>
      <xdr:rowOff>649853</xdr:rowOff>
    </xdr:to>
    <xdr:pic>
      <xdr:nvPicPr>
        <xdr:cNvPr id="4" name="Imatge 3">
          <a:extLst>
            <a:ext uri="{FF2B5EF4-FFF2-40B4-BE49-F238E27FC236}">
              <a16:creationId xmlns:a16="http://schemas.microsoft.com/office/drawing/2014/main" id="{5818A0F1-27FB-4439-A383-12BC0D1CAF24}"/>
            </a:ext>
          </a:extLst>
        </xdr:cNvPr>
        <xdr:cNvPicPr>
          <a:picLocks noChangeAspect="1"/>
        </xdr:cNvPicPr>
      </xdr:nvPicPr>
      <xdr:blipFill>
        <a:blip xmlns:r="http://schemas.openxmlformats.org/officeDocument/2006/relationships" r:embed="rId2"/>
        <a:stretch>
          <a:fillRect/>
        </a:stretch>
      </xdr:blipFill>
      <xdr:spPr>
        <a:xfrm>
          <a:off x="800100" y="219075"/>
          <a:ext cx="1657350" cy="63080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31</xdr:row>
      <xdr:rowOff>0</xdr:rowOff>
    </xdr:from>
    <xdr:to>
      <xdr:col>8</xdr:col>
      <xdr:colOff>547688</xdr:colOff>
      <xdr:row>49</xdr:row>
      <xdr:rowOff>133350</xdr:rowOff>
    </xdr:to>
    <xdr:graphicFrame macro="">
      <xdr:nvGraphicFramePr>
        <xdr:cNvPr id="5" name="Gràfic 4">
          <a:extLst>
            <a:ext uri="{FF2B5EF4-FFF2-40B4-BE49-F238E27FC236}">
              <a16:creationId xmlns:a16="http://schemas.microsoft.com/office/drawing/2014/main" id="{53050C13-3B5C-4CB2-B1F5-A53449F13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219075</xdr:colOff>
      <xdr:row>1</xdr:row>
      <xdr:rowOff>47625</xdr:rowOff>
    </xdr:from>
    <xdr:to>
      <xdr:col>2</xdr:col>
      <xdr:colOff>933450</xdr:colOff>
      <xdr:row>1</xdr:row>
      <xdr:rowOff>678428</xdr:rowOff>
    </xdr:to>
    <xdr:pic>
      <xdr:nvPicPr>
        <xdr:cNvPr id="2" name="Imatge 1">
          <a:extLst>
            <a:ext uri="{FF2B5EF4-FFF2-40B4-BE49-F238E27FC236}">
              <a16:creationId xmlns:a16="http://schemas.microsoft.com/office/drawing/2014/main" id="{46EEF69D-0FCB-4468-ADF5-3DD18308924E}"/>
            </a:ext>
          </a:extLst>
        </xdr:cNvPr>
        <xdr:cNvPicPr>
          <a:picLocks noChangeAspect="1"/>
        </xdr:cNvPicPr>
      </xdr:nvPicPr>
      <xdr:blipFill>
        <a:blip xmlns:r="http://schemas.openxmlformats.org/officeDocument/2006/relationships" r:embed="rId2"/>
        <a:stretch>
          <a:fillRect/>
        </a:stretch>
      </xdr:blipFill>
      <xdr:spPr>
        <a:xfrm>
          <a:off x="447675" y="247650"/>
          <a:ext cx="1657350" cy="63080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14287</xdr:colOff>
      <xdr:row>32</xdr:row>
      <xdr:rowOff>171450</xdr:rowOff>
    </xdr:from>
    <xdr:to>
      <xdr:col>9</xdr:col>
      <xdr:colOff>200025</xdr:colOff>
      <xdr:row>48</xdr:row>
      <xdr:rowOff>209550</xdr:rowOff>
    </xdr:to>
    <xdr:graphicFrame macro="">
      <xdr:nvGraphicFramePr>
        <xdr:cNvPr id="2" name="Gràfic 1">
          <a:extLst>
            <a:ext uri="{FF2B5EF4-FFF2-40B4-BE49-F238E27FC236}">
              <a16:creationId xmlns:a16="http://schemas.microsoft.com/office/drawing/2014/main" id="{0E6818E3-0C34-F6AF-6D68-90B28B928A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285750</xdr:colOff>
      <xdr:row>1</xdr:row>
      <xdr:rowOff>38100</xdr:rowOff>
    </xdr:from>
    <xdr:to>
      <xdr:col>2</xdr:col>
      <xdr:colOff>1000125</xdr:colOff>
      <xdr:row>1</xdr:row>
      <xdr:rowOff>668903</xdr:rowOff>
    </xdr:to>
    <xdr:pic>
      <xdr:nvPicPr>
        <xdr:cNvPr id="5" name="Imatge 4">
          <a:extLst>
            <a:ext uri="{FF2B5EF4-FFF2-40B4-BE49-F238E27FC236}">
              <a16:creationId xmlns:a16="http://schemas.microsoft.com/office/drawing/2014/main" id="{FE28C1C1-EBBF-4ADF-AAAB-1EC8B9F17603}"/>
            </a:ext>
          </a:extLst>
        </xdr:cNvPr>
        <xdr:cNvPicPr>
          <a:picLocks noChangeAspect="1"/>
        </xdr:cNvPicPr>
      </xdr:nvPicPr>
      <xdr:blipFill>
        <a:blip xmlns:r="http://schemas.openxmlformats.org/officeDocument/2006/relationships" r:embed="rId2"/>
        <a:stretch>
          <a:fillRect/>
        </a:stretch>
      </xdr:blipFill>
      <xdr:spPr>
        <a:xfrm>
          <a:off x="514350" y="238125"/>
          <a:ext cx="1657350" cy="63080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35</xdr:row>
      <xdr:rowOff>0</xdr:rowOff>
    </xdr:from>
    <xdr:to>
      <xdr:col>5</xdr:col>
      <xdr:colOff>799599</xdr:colOff>
      <xdr:row>46</xdr:row>
      <xdr:rowOff>109287</xdr:rowOff>
    </xdr:to>
    <xdr:graphicFrame macro="">
      <xdr:nvGraphicFramePr>
        <xdr:cNvPr id="2" name="Gràfic 1">
          <a:extLst>
            <a:ext uri="{FF2B5EF4-FFF2-40B4-BE49-F238E27FC236}">
              <a16:creationId xmlns:a16="http://schemas.microsoft.com/office/drawing/2014/main" id="{D08A473B-8864-416D-B1EF-8371711CF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431131</xdr:colOff>
      <xdr:row>1</xdr:row>
      <xdr:rowOff>50132</xdr:rowOff>
    </xdr:from>
    <xdr:to>
      <xdr:col>2</xdr:col>
      <xdr:colOff>1146008</xdr:colOff>
      <xdr:row>1</xdr:row>
      <xdr:rowOff>680935</xdr:rowOff>
    </xdr:to>
    <xdr:pic>
      <xdr:nvPicPr>
        <xdr:cNvPr id="4" name="Imatge 3">
          <a:extLst>
            <a:ext uri="{FF2B5EF4-FFF2-40B4-BE49-F238E27FC236}">
              <a16:creationId xmlns:a16="http://schemas.microsoft.com/office/drawing/2014/main" id="{535FC532-DC97-40FF-92CF-AC6B5B284CA6}"/>
            </a:ext>
          </a:extLst>
        </xdr:cNvPr>
        <xdr:cNvPicPr>
          <a:picLocks noChangeAspect="1"/>
        </xdr:cNvPicPr>
      </xdr:nvPicPr>
      <xdr:blipFill>
        <a:blip xmlns:r="http://schemas.openxmlformats.org/officeDocument/2006/relationships" r:embed="rId2"/>
        <a:stretch>
          <a:fillRect/>
        </a:stretch>
      </xdr:blipFill>
      <xdr:spPr>
        <a:xfrm>
          <a:off x="992605" y="250658"/>
          <a:ext cx="1657350" cy="63080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4761</xdr:colOff>
      <xdr:row>34</xdr:row>
      <xdr:rowOff>161923</xdr:rowOff>
    </xdr:from>
    <xdr:to>
      <xdr:col>11</xdr:col>
      <xdr:colOff>419100</xdr:colOff>
      <xdr:row>62</xdr:row>
      <xdr:rowOff>0</xdr:rowOff>
    </xdr:to>
    <xdr:graphicFrame macro="">
      <xdr:nvGraphicFramePr>
        <xdr:cNvPr id="2" name="Gràfic 1">
          <a:extLst>
            <a:ext uri="{FF2B5EF4-FFF2-40B4-BE49-F238E27FC236}">
              <a16:creationId xmlns:a16="http://schemas.microsoft.com/office/drawing/2014/main" id="{169EA437-5F95-5DB2-8756-692D3BE774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152400</xdr:colOff>
      <xdr:row>1</xdr:row>
      <xdr:rowOff>9525</xdr:rowOff>
    </xdr:from>
    <xdr:to>
      <xdr:col>2</xdr:col>
      <xdr:colOff>866775</xdr:colOff>
      <xdr:row>1</xdr:row>
      <xdr:rowOff>640328</xdr:rowOff>
    </xdr:to>
    <xdr:pic>
      <xdr:nvPicPr>
        <xdr:cNvPr id="3" name="Imatge 2">
          <a:extLst>
            <a:ext uri="{FF2B5EF4-FFF2-40B4-BE49-F238E27FC236}">
              <a16:creationId xmlns:a16="http://schemas.microsoft.com/office/drawing/2014/main" id="{A9E6CC6D-00F0-429B-B0D6-45DD15277FA8}"/>
            </a:ext>
          </a:extLst>
        </xdr:cNvPr>
        <xdr:cNvPicPr>
          <a:picLocks noChangeAspect="1"/>
        </xdr:cNvPicPr>
      </xdr:nvPicPr>
      <xdr:blipFill>
        <a:blip xmlns:r="http://schemas.openxmlformats.org/officeDocument/2006/relationships" r:embed="rId2"/>
        <a:stretch>
          <a:fillRect/>
        </a:stretch>
      </xdr:blipFill>
      <xdr:spPr>
        <a:xfrm>
          <a:off x="381000" y="209550"/>
          <a:ext cx="1657350" cy="6308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320842</xdr:colOff>
      <xdr:row>70</xdr:row>
      <xdr:rowOff>250657</xdr:rowOff>
    </xdr:from>
    <xdr:to>
      <xdr:col>5</xdr:col>
      <xdr:colOff>278231</xdr:colOff>
      <xdr:row>82</xdr:row>
      <xdr:rowOff>19049</xdr:rowOff>
    </xdr:to>
    <xdr:graphicFrame macro="">
      <xdr:nvGraphicFramePr>
        <xdr:cNvPr id="3" name="Gràfic 2">
          <a:extLst>
            <a:ext uri="{FF2B5EF4-FFF2-40B4-BE49-F238E27FC236}">
              <a16:creationId xmlns:a16="http://schemas.microsoft.com/office/drawing/2014/main" id="{F668F06B-AF2F-4DA6-A13F-B1D26FD4F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160421</xdr:colOff>
      <xdr:row>1</xdr:row>
      <xdr:rowOff>40105</xdr:rowOff>
    </xdr:from>
    <xdr:to>
      <xdr:col>0</xdr:col>
      <xdr:colOff>1817771</xdr:colOff>
      <xdr:row>1</xdr:row>
      <xdr:rowOff>670908</xdr:rowOff>
    </xdr:to>
    <xdr:pic>
      <xdr:nvPicPr>
        <xdr:cNvPr id="5" name="Imatge 4">
          <a:extLst>
            <a:ext uri="{FF2B5EF4-FFF2-40B4-BE49-F238E27FC236}">
              <a16:creationId xmlns:a16="http://schemas.microsoft.com/office/drawing/2014/main" id="{7AF28D64-21D4-4406-9EB4-90B58D246231}"/>
            </a:ext>
          </a:extLst>
        </xdr:cNvPr>
        <xdr:cNvPicPr>
          <a:picLocks noChangeAspect="1"/>
        </xdr:cNvPicPr>
      </xdr:nvPicPr>
      <xdr:blipFill>
        <a:blip xmlns:r="http://schemas.openxmlformats.org/officeDocument/2006/relationships" r:embed="rId2"/>
        <a:stretch>
          <a:fillRect/>
        </a:stretch>
      </xdr:blipFill>
      <xdr:spPr>
        <a:xfrm>
          <a:off x="160421" y="240631"/>
          <a:ext cx="1657350" cy="6308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17318</xdr:colOff>
      <xdr:row>33</xdr:row>
      <xdr:rowOff>57149</xdr:rowOff>
    </xdr:from>
    <xdr:to>
      <xdr:col>7</xdr:col>
      <xdr:colOff>34636</xdr:colOff>
      <xdr:row>50</xdr:row>
      <xdr:rowOff>3463</xdr:rowOff>
    </xdr:to>
    <xdr:graphicFrame macro="">
      <xdr:nvGraphicFramePr>
        <xdr:cNvPr id="3" name="Gràfic 2">
          <a:extLst>
            <a:ext uri="{FF2B5EF4-FFF2-40B4-BE49-F238E27FC236}">
              <a16:creationId xmlns:a16="http://schemas.microsoft.com/office/drawing/2014/main" id="{48F1A56F-F945-636B-AF69-1E1D073A6F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242455</xdr:colOff>
      <xdr:row>1</xdr:row>
      <xdr:rowOff>43295</xdr:rowOff>
    </xdr:from>
    <xdr:to>
      <xdr:col>2</xdr:col>
      <xdr:colOff>817419</xdr:colOff>
      <xdr:row>1</xdr:row>
      <xdr:rowOff>674098</xdr:rowOff>
    </xdr:to>
    <xdr:pic>
      <xdr:nvPicPr>
        <xdr:cNvPr id="5" name="Imatge 4">
          <a:extLst>
            <a:ext uri="{FF2B5EF4-FFF2-40B4-BE49-F238E27FC236}">
              <a16:creationId xmlns:a16="http://schemas.microsoft.com/office/drawing/2014/main" id="{D40429F2-F1B4-4275-93D6-AF9ED855426D}"/>
            </a:ext>
          </a:extLst>
        </xdr:cNvPr>
        <xdr:cNvPicPr>
          <a:picLocks noChangeAspect="1"/>
        </xdr:cNvPicPr>
      </xdr:nvPicPr>
      <xdr:blipFill>
        <a:blip xmlns:r="http://schemas.openxmlformats.org/officeDocument/2006/relationships" r:embed="rId2"/>
        <a:stretch>
          <a:fillRect/>
        </a:stretch>
      </xdr:blipFill>
      <xdr:spPr>
        <a:xfrm>
          <a:off x="1004455" y="207818"/>
          <a:ext cx="1657350" cy="6308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633412</xdr:colOff>
      <xdr:row>36</xdr:row>
      <xdr:rowOff>152400</xdr:rowOff>
    </xdr:from>
    <xdr:to>
      <xdr:col>6</xdr:col>
      <xdr:colOff>176212</xdr:colOff>
      <xdr:row>53</xdr:row>
      <xdr:rowOff>142875</xdr:rowOff>
    </xdr:to>
    <xdr:graphicFrame macro="">
      <xdr:nvGraphicFramePr>
        <xdr:cNvPr id="3" name="Gràfic 2">
          <a:extLst>
            <a:ext uri="{FF2B5EF4-FFF2-40B4-BE49-F238E27FC236}">
              <a16:creationId xmlns:a16="http://schemas.microsoft.com/office/drawing/2014/main" id="{0E17F83D-F3ED-1BC2-F478-6A51300A29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304800</xdr:colOff>
      <xdr:row>1</xdr:row>
      <xdr:rowOff>85725</xdr:rowOff>
    </xdr:from>
    <xdr:to>
      <xdr:col>2</xdr:col>
      <xdr:colOff>1057275</xdr:colOff>
      <xdr:row>1</xdr:row>
      <xdr:rowOff>716528</xdr:rowOff>
    </xdr:to>
    <xdr:pic>
      <xdr:nvPicPr>
        <xdr:cNvPr id="4" name="Imatge 3">
          <a:extLst>
            <a:ext uri="{FF2B5EF4-FFF2-40B4-BE49-F238E27FC236}">
              <a16:creationId xmlns:a16="http://schemas.microsoft.com/office/drawing/2014/main" id="{B3209083-6794-41C2-8E38-F93F1CE330A6}"/>
            </a:ext>
          </a:extLst>
        </xdr:cNvPr>
        <xdr:cNvPicPr>
          <a:picLocks noChangeAspect="1"/>
        </xdr:cNvPicPr>
      </xdr:nvPicPr>
      <xdr:blipFill>
        <a:blip xmlns:r="http://schemas.openxmlformats.org/officeDocument/2006/relationships" r:embed="rId2"/>
        <a:stretch>
          <a:fillRect/>
        </a:stretch>
      </xdr:blipFill>
      <xdr:spPr>
        <a:xfrm>
          <a:off x="1066800" y="247650"/>
          <a:ext cx="1657350" cy="6308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219074</xdr:colOff>
      <xdr:row>39</xdr:row>
      <xdr:rowOff>57149</xdr:rowOff>
    </xdr:from>
    <xdr:to>
      <xdr:col>9</xdr:col>
      <xdr:colOff>1543049</xdr:colOff>
      <xdr:row>61</xdr:row>
      <xdr:rowOff>238124</xdr:rowOff>
    </xdr:to>
    <xdr:graphicFrame macro="">
      <xdr:nvGraphicFramePr>
        <xdr:cNvPr id="2" name="Gràfic 1">
          <a:extLst>
            <a:ext uri="{FF2B5EF4-FFF2-40B4-BE49-F238E27FC236}">
              <a16:creationId xmlns:a16="http://schemas.microsoft.com/office/drawing/2014/main" id="{579DCEB6-A90A-770F-BAB5-1F5CB8B0D0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123825</xdr:colOff>
      <xdr:row>1</xdr:row>
      <xdr:rowOff>9525</xdr:rowOff>
    </xdr:from>
    <xdr:to>
      <xdr:col>2</xdr:col>
      <xdr:colOff>838200</xdr:colOff>
      <xdr:row>1</xdr:row>
      <xdr:rowOff>640328</xdr:rowOff>
    </xdr:to>
    <xdr:pic>
      <xdr:nvPicPr>
        <xdr:cNvPr id="3" name="Imatge 2">
          <a:extLst>
            <a:ext uri="{FF2B5EF4-FFF2-40B4-BE49-F238E27FC236}">
              <a16:creationId xmlns:a16="http://schemas.microsoft.com/office/drawing/2014/main" id="{20328433-7AE7-46DB-BEB9-F799E46CA4A2}"/>
            </a:ext>
          </a:extLst>
        </xdr:cNvPr>
        <xdr:cNvPicPr>
          <a:picLocks noChangeAspect="1"/>
        </xdr:cNvPicPr>
      </xdr:nvPicPr>
      <xdr:blipFill>
        <a:blip xmlns:r="http://schemas.openxmlformats.org/officeDocument/2006/relationships" r:embed="rId2"/>
        <a:stretch>
          <a:fillRect/>
        </a:stretch>
      </xdr:blipFill>
      <xdr:spPr>
        <a:xfrm>
          <a:off x="352425" y="209550"/>
          <a:ext cx="1657350" cy="630803"/>
        </a:xfrm>
        <a:prstGeom prst="rect">
          <a:avLst/>
        </a:prstGeom>
      </xdr:spPr>
    </xdr:pic>
    <xdr:clientData/>
  </xdr:twoCellAnchor>
  <xdr:twoCellAnchor editAs="oneCell">
    <xdr:from>
      <xdr:col>3</xdr:col>
      <xdr:colOff>419100</xdr:colOff>
      <xdr:row>6</xdr:row>
      <xdr:rowOff>1476376</xdr:rowOff>
    </xdr:from>
    <xdr:to>
      <xdr:col>4</xdr:col>
      <xdr:colOff>517197</xdr:colOff>
      <xdr:row>6</xdr:row>
      <xdr:rowOff>2076450</xdr:rowOff>
    </xdr:to>
    <xdr:pic>
      <xdr:nvPicPr>
        <xdr:cNvPr id="4" name="Imatge 3">
          <a:extLst>
            <a:ext uri="{FF2B5EF4-FFF2-40B4-BE49-F238E27FC236}">
              <a16:creationId xmlns:a16="http://schemas.microsoft.com/office/drawing/2014/main" id="{688604EF-EEEB-4F5A-B487-73F391305602}"/>
            </a:ext>
          </a:extLst>
        </xdr:cNvPr>
        <xdr:cNvPicPr>
          <a:picLocks noChangeAspect="1"/>
        </xdr:cNvPicPr>
      </xdr:nvPicPr>
      <xdr:blipFill>
        <a:blip xmlns:r="http://schemas.openxmlformats.org/officeDocument/2006/relationships" r:embed="rId3"/>
        <a:stretch>
          <a:fillRect/>
        </a:stretch>
      </xdr:blipFill>
      <xdr:spPr>
        <a:xfrm>
          <a:off x="2752725" y="4362451"/>
          <a:ext cx="1250622"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128587</xdr:colOff>
      <xdr:row>20</xdr:row>
      <xdr:rowOff>9525</xdr:rowOff>
    </xdr:from>
    <xdr:to>
      <xdr:col>7</xdr:col>
      <xdr:colOff>433387</xdr:colOff>
      <xdr:row>37</xdr:row>
      <xdr:rowOff>0</xdr:rowOff>
    </xdr:to>
    <xdr:graphicFrame macro="">
      <xdr:nvGraphicFramePr>
        <xdr:cNvPr id="3" name="Gràfic 2">
          <a:extLst>
            <a:ext uri="{FF2B5EF4-FFF2-40B4-BE49-F238E27FC236}">
              <a16:creationId xmlns:a16="http://schemas.microsoft.com/office/drawing/2014/main" id="{50B6246B-ED79-4678-A29A-4266A4F998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762000</xdr:colOff>
      <xdr:row>1</xdr:row>
      <xdr:rowOff>28575</xdr:rowOff>
    </xdr:from>
    <xdr:to>
      <xdr:col>1</xdr:col>
      <xdr:colOff>1657350</xdr:colOff>
      <xdr:row>1</xdr:row>
      <xdr:rowOff>659378</xdr:rowOff>
    </xdr:to>
    <xdr:pic>
      <xdr:nvPicPr>
        <xdr:cNvPr id="5" name="Imatge 4">
          <a:extLst>
            <a:ext uri="{FF2B5EF4-FFF2-40B4-BE49-F238E27FC236}">
              <a16:creationId xmlns:a16="http://schemas.microsoft.com/office/drawing/2014/main" id="{3946CCF4-C8EB-413A-8056-6A7C2D313766}"/>
            </a:ext>
          </a:extLst>
        </xdr:cNvPr>
        <xdr:cNvPicPr>
          <a:picLocks noChangeAspect="1"/>
        </xdr:cNvPicPr>
      </xdr:nvPicPr>
      <xdr:blipFill>
        <a:blip xmlns:r="http://schemas.openxmlformats.org/officeDocument/2006/relationships" r:embed="rId2"/>
        <a:stretch>
          <a:fillRect/>
        </a:stretch>
      </xdr:blipFill>
      <xdr:spPr>
        <a:xfrm>
          <a:off x="990600" y="228600"/>
          <a:ext cx="1657350" cy="6308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80961</xdr:colOff>
      <xdr:row>37</xdr:row>
      <xdr:rowOff>85724</xdr:rowOff>
    </xdr:from>
    <xdr:to>
      <xdr:col>9</xdr:col>
      <xdr:colOff>714374</xdr:colOff>
      <xdr:row>56</xdr:row>
      <xdr:rowOff>19049</xdr:rowOff>
    </xdr:to>
    <xdr:graphicFrame macro="">
      <xdr:nvGraphicFramePr>
        <xdr:cNvPr id="2" name="Gràfic 1">
          <a:extLst>
            <a:ext uri="{FF2B5EF4-FFF2-40B4-BE49-F238E27FC236}">
              <a16:creationId xmlns:a16="http://schemas.microsoft.com/office/drawing/2014/main" id="{58D889A1-F491-DF30-53C6-6A65B1D5F8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200025</xdr:colOff>
      <xdr:row>1</xdr:row>
      <xdr:rowOff>28575</xdr:rowOff>
    </xdr:from>
    <xdr:to>
      <xdr:col>2</xdr:col>
      <xdr:colOff>914400</xdr:colOff>
      <xdr:row>1</xdr:row>
      <xdr:rowOff>659378</xdr:rowOff>
    </xdr:to>
    <xdr:pic>
      <xdr:nvPicPr>
        <xdr:cNvPr id="3" name="Imatge 2">
          <a:extLst>
            <a:ext uri="{FF2B5EF4-FFF2-40B4-BE49-F238E27FC236}">
              <a16:creationId xmlns:a16="http://schemas.microsoft.com/office/drawing/2014/main" id="{D1C4C968-EAC6-432A-B565-516A108B4AE4}"/>
            </a:ext>
          </a:extLst>
        </xdr:cNvPr>
        <xdr:cNvPicPr>
          <a:picLocks noChangeAspect="1"/>
        </xdr:cNvPicPr>
      </xdr:nvPicPr>
      <xdr:blipFill>
        <a:blip xmlns:r="http://schemas.openxmlformats.org/officeDocument/2006/relationships" r:embed="rId2"/>
        <a:stretch>
          <a:fillRect/>
        </a:stretch>
      </xdr:blipFill>
      <xdr:spPr>
        <a:xfrm>
          <a:off x="428625" y="228600"/>
          <a:ext cx="1657350" cy="6308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23811</xdr:colOff>
      <xdr:row>37</xdr:row>
      <xdr:rowOff>257174</xdr:rowOff>
    </xdr:from>
    <xdr:to>
      <xdr:col>9</xdr:col>
      <xdr:colOff>914400</xdr:colOff>
      <xdr:row>54</xdr:row>
      <xdr:rowOff>76199</xdr:rowOff>
    </xdr:to>
    <xdr:graphicFrame macro="">
      <xdr:nvGraphicFramePr>
        <xdr:cNvPr id="2" name="Gràfic 1">
          <a:extLst>
            <a:ext uri="{FF2B5EF4-FFF2-40B4-BE49-F238E27FC236}">
              <a16:creationId xmlns:a16="http://schemas.microsoft.com/office/drawing/2014/main" id="{9A60344F-E62C-D336-2A05-162E7B254B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304800</xdr:colOff>
      <xdr:row>1</xdr:row>
      <xdr:rowOff>38100</xdr:rowOff>
    </xdr:from>
    <xdr:to>
      <xdr:col>2</xdr:col>
      <xdr:colOff>1019175</xdr:colOff>
      <xdr:row>1</xdr:row>
      <xdr:rowOff>668903</xdr:rowOff>
    </xdr:to>
    <xdr:pic>
      <xdr:nvPicPr>
        <xdr:cNvPr id="5" name="Imatge 4">
          <a:extLst>
            <a:ext uri="{FF2B5EF4-FFF2-40B4-BE49-F238E27FC236}">
              <a16:creationId xmlns:a16="http://schemas.microsoft.com/office/drawing/2014/main" id="{1E6A3FE9-1F7C-40DE-9B2D-35E062EE24DB}"/>
            </a:ext>
          </a:extLst>
        </xdr:cNvPr>
        <xdr:cNvPicPr>
          <a:picLocks noChangeAspect="1"/>
        </xdr:cNvPicPr>
      </xdr:nvPicPr>
      <xdr:blipFill>
        <a:blip xmlns:r="http://schemas.openxmlformats.org/officeDocument/2006/relationships" r:embed="rId2"/>
        <a:stretch>
          <a:fillRect/>
        </a:stretch>
      </xdr:blipFill>
      <xdr:spPr>
        <a:xfrm>
          <a:off x="533400" y="238125"/>
          <a:ext cx="1657350" cy="6308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198948</xdr:colOff>
      <xdr:row>22</xdr:row>
      <xdr:rowOff>145487</xdr:rowOff>
    </xdr:from>
    <xdr:to>
      <xdr:col>8</xdr:col>
      <xdr:colOff>268432</xdr:colOff>
      <xdr:row>42</xdr:row>
      <xdr:rowOff>69272</xdr:rowOff>
    </xdr:to>
    <xdr:graphicFrame macro="">
      <xdr:nvGraphicFramePr>
        <xdr:cNvPr id="3" name="Gràfic 2">
          <a:extLst>
            <a:ext uri="{FF2B5EF4-FFF2-40B4-BE49-F238E27FC236}">
              <a16:creationId xmlns:a16="http://schemas.microsoft.com/office/drawing/2014/main" id="{9D417931-EC68-4192-BCAE-31DC2F599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103909</xdr:colOff>
      <xdr:row>1</xdr:row>
      <xdr:rowOff>25977</xdr:rowOff>
    </xdr:from>
    <xdr:to>
      <xdr:col>2</xdr:col>
      <xdr:colOff>644236</xdr:colOff>
      <xdr:row>1</xdr:row>
      <xdr:rowOff>656780</xdr:rowOff>
    </xdr:to>
    <xdr:pic>
      <xdr:nvPicPr>
        <xdr:cNvPr id="4" name="Imatge 3">
          <a:extLst>
            <a:ext uri="{FF2B5EF4-FFF2-40B4-BE49-F238E27FC236}">
              <a16:creationId xmlns:a16="http://schemas.microsoft.com/office/drawing/2014/main" id="{9F6A3690-B659-4AFC-AE7E-FA3CA22C0B61}"/>
            </a:ext>
          </a:extLst>
        </xdr:cNvPr>
        <xdr:cNvPicPr>
          <a:picLocks noChangeAspect="1"/>
        </xdr:cNvPicPr>
      </xdr:nvPicPr>
      <xdr:blipFill>
        <a:blip xmlns:r="http://schemas.openxmlformats.org/officeDocument/2006/relationships" r:embed="rId2"/>
        <a:stretch>
          <a:fillRect/>
        </a:stretch>
      </xdr:blipFill>
      <xdr:spPr>
        <a:xfrm>
          <a:off x="329045" y="225136"/>
          <a:ext cx="1657350" cy="6308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198949</xdr:colOff>
      <xdr:row>22</xdr:row>
      <xdr:rowOff>145947</xdr:rowOff>
    </xdr:from>
    <xdr:to>
      <xdr:col>5</xdr:col>
      <xdr:colOff>768913</xdr:colOff>
      <xdr:row>34</xdr:row>
      <xdr:rowOff>69593</xdr:rowOff>
    </xdr:to>
    <xdr:graphicFrame macro="">
      <xdr:nvGraphicFramePr>
        <xdr:cNvPr id="2" name="Gràfic 1">
          <a:extLst>
            <a:ext uri="{FF2B5EF4-FFF2-40B4-BE49-F238E27FC236}">
              <a16:creationId xmlns:a16="http://schemas.microsoft.com/office/drawing/2014/main" id="{3E6DCECA-240C-C84D-74BE-B4F802A0E1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253488</xdr:colOff>
      <xdr:row>1</xdr:row>
      <xdr:rowOff>23045</xdr:rowOff>
    </xdr:from>
    <xdr:to>
      <xdr:col>2</xdr:col>
      <xdr:colOff>966020</xdr:colOff>
      <xdr:row>1</xdr:row>
      <xdr:rowOff>653848</xdr:rowOff>
    </xdr:to>
    <xdr:pic>
      <xdr:nvPicPr>
        <xdr:cNvPr id="4" name="Imatge 3">
          <a:extLst>
            <a:ext uri="{FF2B5EF4-FFF2-40B4-BE49-F238E27FC236}">
              <a16:creationId xmlns:a16="http://schemas.microsoft.com/office/drawing/2014/main" id="{8BC1F914-1F5A-4E96-A69C-4F82F2C0D515}"/>
            </a:ext>
          </a:extLst>
        </xdr:cNvPr>
        <xdr:cNvPicPr>
          <a:picLocks noChangeAspect="1"/>
        </xdr:cNvPicPr>
      </xdr:nvPicPr>
      <xdr:blipFill>
        <a:blip xmlns:r="http://schemas.openxmlformats.org/officeDocument/2006/relationships" r:embed="rId2"/>
        <a:stretch>
          <a:fillRect/>
        </a:stretch>
      </xdr:blipFill>
      <xdr:spPr>
        <a:xfrm>
          <a:off x="483932" y="222763"/>
          <a:ext cx="1657350" cy="63080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23812</xdr:colOff>
      <xdr:row>38</xdr:row>
      <xdr:rowOff>200024</xdr:rowOff>
    </xdr:from>
    <xdr:to>
      <xdr:col>9</xdr:col>
      <xdr:colOff>914400</xdr:colOff>
      <xdr:row>62</xdr:row>
      <xdr:rowOff>57150</xdr:rowOff>
    </xdr:to>
    <xdr:graphicFrame macro="">
      <xdr:nvGraphicFramePr>
        <xdr:cNvPr id="2" name="Gràfic 1">
          <a:extLst>
            <a:ext uri="{FF2B5EF4-FFF2-40B4-BE49-F238E27FC236}">
              <a16:creationId xmlns:a16="http://schemas.microsoft.com/office/drawing/2014/main" id="{7E86DF3D-731F-C45F-1F25-139DDB34AF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295275</xdr:colOff>
      <xdr:row>1</xdr:row>
      <xdr:rowOff>19050</xdr:rowOff>
    </xdr:from>
    <xdr:to>
      <xdr:col>2</xdr:col>
      <xdr:colOff>1009650</xdr:colOff>
      <xdr:row>1</xdr:row>
      <xdr:rowOff>649853</xdr:rowOff>
    </xdr:to>
    <xdr:pic>
      <xdr:nvPicPr>
        <xdr:cNvPr id="3" name="Imatge 2">
          <a:extLst>
            <a:ext uri="{FF2B5EF4-FFF2-40B4-BE49-F238E27FC236}">
              <a16:creationId xmlns:a16="http://schemas.microsoft.com/office/drawing/2014/main" id="{CF924D97-6470-4FD1-9816-A7BC6AA0EF01}"/>
            </a:ext>
          </a:extLst>
        </xdr:cNvPr>
        <xdr:cNvPicPr>
          <a:picLocks noChangeAspect="1"/>
        </xdr:cNvPicPr>
      </xdr:nvPicPr>
      <xdr:blipFill>
        <a:blip xmlns:r="http://schemas.openxmlformats.org/officeDocument/2006/relationships" r:embed="rId2"/>
        <a:stretch>
          <a:fillRect/>
        </a:stretch>
      </xdr:blipFill>
      <xdr:spPr>
        <a:xfrm>
          <a:off x="523875" y="219075"/>
          <a:ext cx="1657350" cy="63080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52386</xdr:colOff>
      <xdr:row>33</xdr:row>
      <xdr:rowOff>114300</xdr:rowOff>
    </xdr:from>
    <xdr:to>
      <xdr:col>9</xdr:col>
      <xdr:colOff>761999</xdr:colOff>
      <xdr:row>50</xdr:row>
      <xdr:rowOff>142875</xdr:rowOff>
    </xdr:to>
    <xdr:graphicFrame macro="">
      <xdr:nvGraphicFramePr>
        <xdr:cNvPr id="2" name="Gràfic 1">
          <a:extLst>
            <a:ext uri="{FF2B5EF4-FFF2-40B4-BE49-F238E27FC236}">
              <a16:creationId xmlns:a16="http://schemas.microsoft.com/office/drawing/2014/main" id="{498F71B3-15BC-F8A5-3D3E-35B055678F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285750</xdr:colOff>
      <xdr:row>1</xdr:row>
      <xdr:rowOff>28575</xdr:rowOff>
    </xdr:from>
    <xdr:to>
      <xdr:col>2</xdr:col>
      <xdr:colOff>1000125</xdr:colOff>
      <xdr:row>1</xdr:row>
      <xdr:rowOff>659378</xdr:rowOff>
    </xdr:to>
    <xdr:pic>
      <xdr:nvPicPr>
        <xdr:cNvPr id="3" name="Imatge 2">
          <a:extLst>
            <a:ext uri="{FF2B5EF4-FFF2-40B4-BE49-F238E27FC236}">
              <a16:creationId xmlns:a16="http://schemas.microsoft.com/office/drawing/2014/main" id="{4CE34AEB-EF19-4C71-971F-9E25E0DF23EA}"/>
            </a:ext>
          </a:extLst>
        </xdr:cNvPr>
        <xdr:cNvPicPr>
          <a:picLocks noChangeAspect="1"/>
        </xdr:cNvPicPr>
      </xdr:nvPicPr>
      <xdr:blipFill>
        <a:blip xmlns:r="http://schemas.openxmlformats.org/officeDocument/2006/relationships" r:embed="rId2"/>
        <a:stretch>
          <a:fillRect/>
        </a:stretch>
      </xdr:blipFill>
      <xdr:spPr>
        <a:xfrm>
          <a:off x="514350" y="228600"/>
          <a:ext cx="1657350" cy="6308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52387</xdr:colOff>
      <xdr:row>19</xdr:row>
      <xdr:rowOff>219075</xdr:rowOff>
    </xdr:from>
    <xdr:to>
      <xdr:col>5</xdr:col>
      <xdr:colOff>71437</xdr:colOff>
      <xdr:row>30</xdr:row>
      <xdr:rowOff>238125</xdr:rowOff>
    </xdr:to>
    <xdr:graphicFrame macro="">
      <xdr:nvGraphicFramePr>
        <xdr:cNvPr id="2" name="Gràfic 1">
          <a:extLst>
            <a:ext uri="{FF2B5EF4-FFF2-40B4-BE49-F238E27FC236}">
              <a16:creationId xmlns:a16="http://schemas.microsoft.com/office/drawing/2014/main" id="{8D25A7D7-1713-43F5-B696-4540417612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323850</xdr:colOff>
      <xdr:row>1</xdr:row>
      <xdr:rowOff>38100</xdr:rowOff>
    </xdr:from>
    <xdr:to>
      <xdr:col>2</xdr:col>
      <xdr:colOff>1038225</xdr:colOff>
      <xdr:row>1</xdr:row>
      <xdr:rowOff>668903</xdr:rowOff>
    </xdr:to>
    <xdr:pic>
      <xdr:nvPicPr>
        <xdr:cNvPr id="3" name="Imatge 2">
          <a:extLst>
            <a:ext uri="{FF2B5EF4-FFF2-40B4-BE49-F238E27FC236}">
              <a16:creationId xmlns:a16="http://schemas.microsoft.com/office/drawing/2014/main" id="{7BE301F5-7762-47E3-8F15-9346E21F6210}"/>
            </a:ext>
          </a:extLst>
        </xdr:cNvPr>
        <xdr:cNvPicPr>
          <a:picLocks noChangeAspect="1"/>
        </xdr:cNvPicPr>
      </xdr:nvPicPr>
      <xdr:blipFill>
        <a:blip xmlns:r="http://schemas.openxmlformats.org/officeDocument/2006/relationships" r:embed="rId2"/>
        <a:stretch>
          <a:fillRect/>
        </a:stretch>
      </xdr:blipFill>
      <xdr:spPr>
        <a:xfrm>
          <a:off x="552450" y="238125"/>
          <a:ext cx="1657350" cy="63080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19050</xdr:colOff>
      <xdr:row>19</xdr:row>
      <xdr:rowOff>209550</xdr:rowOff>
    </xdr:from>
    <xdr:ext cx="4295775" cy="2714625"/>
    <xdr:graphicFrame macro="">
      <xdr:nvGraphicFramePr>
        <xdr:cNvPr id="4" name="Chart 1" title="Gràfic">
          <a:extLst>
            <a:ext uri="{FF2B5EF4-FFF2-40B4-BE49-F238E27FC236}">
              <a16:creationId xmlns:a16="http://schemas.microsoft.com/office/drawing/2014/main" id="{BDD4EAB6-8828-4D2A-9ECB-96F0CE430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209550</xdr:colOff>
      <xdr:row>1</xdr:row>
      <xdr:rowOff>19050</xdr:rowOff>
    </xdr:from>
    <xdr:to>
      <xdr:col>2</xdr:col>
      <xdr:colOff>923925</xdr:colOff>
      <xdr:row>1</xdr:row>
      <xdr:rowOff>649853</xdr:rowOff>
    </xdr:to>
    <xdr:pic>
      <xdr:nvPicPr>
        <xdr:cNvPr id="2" name="Imatge 1">
          <a:extLst>
            <a:ext uri="{FF2B5EF4-FFF2-40B4-BE49-F238E27FC236}">
              <a16:creationId xmlns:a16="http://schemas.microsoft.com/office/drawing/2014/main" id="{03A9133C-0E23-436D-B39B-8CD8F902CC0D}"/>
            </a:ext>
          </a:extLst>
        </xdr:cNvPr>
        <xdr:cNvPicPr>
          <a:picLocks noChangeAspect="1"/>
        </xdr:cNvPicPr>
      </xdr:nvPicPr>
      <xdr:blipFill>
        <a:blip xmlns:r="http://schemas.openxmlformats.org/officeDocument/2006/relationships" r:embed="rId2"/>
        <a:stretch>
          <a:fillRect/>
        </a:stretch>
      </xdr:blipFill>
      <xdr:spPr>
        <a:xfrm>
          <a:off x="438150" y="219075"/>
          <a:ext cx="1657350" cy="63080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0</xdr:col>
      <xdr:colOff>19050</xdr:colOff>
      <xdr:row>18</xdr:row>
      <xdr:rowOff>209550</xdr:rowOff>
    </xdr:from>
    <xdr:ext cx="4295775" cy="2714625"/>
    <xdr:graphicFrame macro="">
      <xdr:nvGraphicFramePr>
        <xdr:cNvPr id="2" name="Chart 1" title="Gràfic">
          <a:extLst>
            <a:ext uri="{FF2B5EF4-FFF2-40B4-BE49-F238E27FC236}">
              <a16:creationId xmlns:a16="http://schemas.microsoft.com/office/drawing/2014/main" id="{D08BE184-A2C8-4D05-AE26-948A23127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180975</xdr:colOff>
      <xdr:row>1</xdr:row>
      <xdr:rowOff>38100</xdr:rowOff>
    </xdr:from>
    <xdr:to>
      <xdr:col>2</xdr:col>
      <xdr:colOff>895350</xdr:colOff>
      <xdr:row>1</xdr:row>
      <xdr:rowOff>668903</xdr:rowOff>
    </xdr:to>
    <xdr:pic>
      <xdr:nvPicPr>
        <xdr:cNvPr id="4" name="Imatge 3">
          <a:extLst>
            <a:ext uri="{FF2B5EF4-FFF2-40B4-BE49-F238E27FC236}">
              <a16:creationId xmlns:a16="http://schemas.microsoft.com/office/drawing/2014/main" id="{69AD7A89-AB66-46D5-B0EF-9BE1CE20A37A}"/>
            </a:ext>
          </a:extLst>
        </xdr:cNvPr>
        <xdr:cNvPicPr>
          <a:picLocks noChangeAspect="1"/>
        </xdr:cNvPicPr>
      </xdr:nvPicPr>
      <xdr:blipFill>
        <a:blip xmlns:r="http://schemas.openxmlformats.org/officeDocument/2006/relationships" r:embed="rId2"/>
        <a:stretch>
          <a:fillRect/>
        </a:stretch>
      </xdr:blipFill>
      <xdr:spPr>
        <a:xfrm>
          <a:off x="409575" y="238125"/>
          <a:ext cx="1657350" cy="63080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oneCellAnchor>
    <xdr:from>
      <xdr:col>0</xdr:col>
      <xdr:colOff>19050</xdr:colOff>
      <xdr:row>18</xdr:row>
      <xdr:rowOff>209550</xdr:rowOff>
    </xdr:from>
    <xdr:ext cx="4295775" cy="2714625"/>
    <xdr:graphicFrame macro="">
      <xdr:nvGraphicFramePr>
        <xdr:cNvPr id="2" name="Chart 1" title="Gràfic">
          <a:extLst>
            <a:ext uri="{FF2B5EF4-FFF2-40B4-BE49-F238E27FC236}">
              <a16:creationId xmlns:a16="http://schemas.microsoft.com/office/drawing/2014/main" id="{D26AE7CB-2832-4B89-BDEF-847516D45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390525</xdr:colOff>
      <xdr:row>1</xdr:row>
      <xdr:rowOff>19050</xdr:rowOff>
    </xdr:from>
    <xdr:to>
      <xdr:col>2</xdr:col>
      <xdr:colOff>1104900</xdr:colOff>
      <xdr:row>1</xdr:row>
      <xdr:rowOff>649853</xdr:rowOff>
    </xdr:to>
    <xdr:pic>
      <xdr:nvPicPr>
        <xdr:cNvPr id="4" name="Imatge 3">
          <a:extLst>
            <a:ext uri="{FF2B5EF4-FFF2-40B4-BE49-F238E27FC236}">
              <a16:creationId xmlns:a16="http://schemas.microsoft.com/office/drawing/2014/main" id="{96839DA7-C1CB-4121-AE6F-E90BE99D038B}"/>
            </a:ext>
          </a:extLst>
        </xdr:cNvPr>
        <xdr:cNvPicPr>
          <a:picLocks noChangeAspect="1"/>
        </xdr:cNvPicPr>
      </xdr:nvPicPr>
      <xdr:blipFill>
        <a:blip xmlns:r="http://schemas.openxmlformats.org/officeDocument/2006/relationships" r:embed="rId2"/>
        <a:stretch>
          <a:fillRect/>
        </a:stretch>
      </xdr:blipFill>
      <xdr:spPr>
        <a:xfrm>
          <a:off x="619125" y="219075"/>
          <a:ext cx="1657350" cy="6308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209549</xdr:colOff>
      <xdr:row>20</xdr:row>
      <xdr:rowOff>133349</xdr:rowOff>
    </xdr:from>
    <xdr:to>
      <xdr:col>7</xdr:col>
      <xdr:colOff>704849</xdr:colOff>
      <xdr:row>40</xdr:row>
      <xdr:rowOff>57149</xdr:rowOff>
    </xdr:to>
    <xdr:graphicFrame macro="">
      <xdr:nvGraphicFramePr>
        <xdr:cNvPr id="9" name="Gràfic 2">
          <a:extLst>
            <a:ext uri="{FF2B5EF4-FFF2-40B4-BE49-F238E27FC236}">
              <a16:creationId xmlns:a16="http://schemas.microsoft.com/office/drawing/2014/main" id="{B0F1907F-A71E-4599-AE18-5350F09345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752475</xdr:colOff>
      <xdr:row>1</xdr:row>
      <xdr:rowOff>38100</xdr:rowOff>
    </xdr:from>
    <xdr:to>
      <xdr:col>2</xdr:col>
      <xdr:colOff>1466850</xdr:colOff>
      <xdr:row>1</xdr:row>
      <xdr:rowOff>668903</xdr:rowOff>
    </xdr:to>
    <xdr:pic>
      <xdr:nvPicPr>
        <xdr:cNvPr id="4" name="Imatge 3">
          <a:extLst>
            <a:ext uri="{FF2B5EF4-FFF2-40B4-BE49-F238E27FC236}">
              <a16:creationId xmlns:a16="http://schemas.microsoft.com/office/drawing/2014/main" id="{7608C372-FFFB-4F39-A7B1-1B36381ACC47}"/>
            </a:ext>
          </a:extLst>
        </xdr:cNvPr>
        <xdr:cNvPicPr>
          <a:picLocks noChangeAspect="1"/>
        </xdr:cNvPicPr>
      </xdr:nvPicPr>
      <xdr:blipFill>
        <a:blip xmlns:r="http://schemas.openxmlformats.org/officeDocument/2006/relationships" r:embed="rId2"/>
        <a:stretch>
          <a:fillRect/>
        </a:stretch>
      </xdr:blipFill>
      <xdr:spPr>
        <a:xfrm>
          <a:off x="981075" y="238125"/>
          <a:ext cx="1657350" cy="63080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19050</xdr:colOff>
      <xdr:row>18</xdr:row>
      <xdr:rowOff>209550</xdr:rowOff>
    </xdr:from>
    <xdr:ext cx="4295775" cy="2714625"/>
    <xdr:graphicFrame macro="">
      <xdr:nvGraphicFramePr>
        <xdr:cNvPr id="2" name="Chart 1" title="Gràfic">
          <a:extLst>
            <a:ext uri="{FF2B5EF4-FFF2-40B4-BE49-F238E27FC236}">
              <a16:creationId xmlns:a16="http://schemas.microsoft.com/office/drawing/2014/main" id="{CB10EE1A-F5A6-4300-B127-9341FC83E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85725</xdr:colOff>
      <xdr:row>1</xdr:row>
      <xdr:rowOff>57150</xdr:rowOff>
    </xdr:from>
    <xdr:to>
      <xdr:col>2</xdr:col>
      <xdr:colOff>800100</xdr:colOff>
      <xdr:row>1</xdr:row>
      <xdr:rowOff>687953</xdr:rowOff>
    </xdr:to>
    <xdr:pic>
      <xdr:nvPicPr>
        <xdr:cNvPr id="4" name="Imatge 3">
          <a:extLst>
            <a:ext uri="{FF2B5EF4-FFF2-40B4-BE49-F238E27FC236}">
              <a16:creationId xmlns:a16="http://schemas.microsoft.com/office/drawing/2014/main" id="{61056A60-B442-4998-BA2D-D75CF1D827D9}"/>
            </a:ext>
          </a:extLst>
        </xdr:cNvPr>
        <xdr:cNvPicPr>
          <a:picLocks noChangeAspect="1"/>
        </xdr:cNvPicPr>
      </xdr:nvPicPr>
      <xdr:blipFill>
        <a:blip xmlns:r="http://schemas.openxmlformats.org/officeDocument/2006/relationships" r:embed="rId2"/>
        <a:stretch>
          <a:fillRect/>
        </a:stretch>
      </xdr:blipFill>
      <xdr:spPr>
        <a:xfrm>
          <a:off x="314325" y="257175"/>
          <a:ext cx="1657350" cy="63080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0</xdr:col>
      <xdr:colOff>19049</xdr:colOff>
      <xdr:row>19</xdr:row>
      <xdr:rowOff>0</xdr:rowOff>
    </xdr:from>
    <xdr:ext cx="7210425" cy="3238500"/>
    <xdr:graphicFrame macro="">
      <xdr:nvGraphicFramePr>
        <xdr:cNvPr id="2" name="Chart 1" title="Gràfic">
          <a:extLst>
            <a:ext uri="{FF2B5EF4-FFF2-40B4-BE49-F238E27FC236}">
              <a16:creationId xmlns:a16="http://schemas.microsoft.com/office/drawing/2014/main" id="{A6633873-62E6-4C20-BEDF-70A0031FD9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104775</xdr:colOff>
      <xdr:row>1</xdr:row>
      <xdr:rowOff>19050</xdr:rowOff>
    </xdr:from>
    <xdr:to>
      <xdr:col>2</xdr:col>
      <xdr:colOff>819150</xdr:colOff>
      <xdr:row>1</xdr:row>
      <xdr:rowOff>649853</xdr:rowOff>
    </xdr:to>
    <xdr:pic>
      <xdr:nvPicPr>
        <xdr:cNvPr id="4" name="Imatge 3">
          <a:extLst>
            <a:ext uri="{FF2B5EF4-FFF2-40B4-BE49-F238E27FC236}">
              <a16:creationId xmlns:a16="http://schemas.microsoft.com/office/drawing/2014/main" id="{37178D2D-6AB9-42AE-8F8B-6E6593A86047}"/>
            </a:ext>
          </a:extLst>
        </xdr:cNvPr>
        <xdr:cNvPicPr>
          <a:picLocks noChangeAspect="1"/>
        </xdr:cNvPicPr>
      </xdr:nvPicPr>
      <xdr:blipFill>
        <a:blip xmlns:r="http://schemas.openxmlformats.org/officeDocument/2006/relationships" r:embed="rId2"/>
        <a:stretch>
          <a:fillRect/>
        </a:stretch>
      </xdr:blipFill>
      <xdr:spPr>
        <a:xfrm>
          <a:off x="333375" y="219075"/>
          <a:ext cx="1657350" cy="63080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166687</xdr:colOff>
      <xdr:row>69</xdr:row>
      <xdr:rowOff>180975</xdr:rowOff>
    </xdr:from>
    <xdr:to>
      <xdr:col>5</xdr:col>
      <xdr:colOff>738187</xdr:colOff>
      <xdr:row>81</xdr:row>
      <xdr:rowOff>47625</xdr:rowOff>
    </xdr:to>
    <xdr:graphicFrame macro="">
      <xdr:nvGraphicFramePr>
        <xdr:cNvPr id="2" name="Gràfic 1">
          <a:extLst>
            <a:ext uri="{FF2B5EF4-FFF2-40B4-BE49-F238E27FC236}">
              <a16:creationId xmlns:a16="http://schemas.microsoft.com/office/drawing/2014/main" id="{4517B24F-3B3C-898C-0C2A-931B0FA98A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95250</xdr:colOff>
      <xdr:row>1</xdr:row>
      <xdr:rowOff>19050</xdr:rowOff>
    </xdr:from>
    <xdr:to>
      <xdr:col>2</xdr:col>
      <xdr:colOff>219075</xdr:colOff>
      <xdr:row>1</xdr:row>
      <xdr:rowOff>649853</xdr:rowOff>
    </xdr:to>
    <xdr:pic>
      <xdr:nvPicPr>
        <xdr:cNvPr id="4" name="Imatge 3">
          <a:extLst>
            <a:ext uri="{FF2B5EF4-FFF2-40B4-BE49-F238E27FC236}">
              <a16:creationId xmlns:a16="http://schemas.microsoft.com/office/drawing/2014/main" id="{6DD55FA2-6B83-4C5A-8666-9E3E4ECB0BBE}"/>
            </a:ext>
          </a:extLst>
        </xdr:cNvPr>
        <xdr:cNvPicPr>
          <a:picLocks noChangeAspect="1"/>
        </xdr:cNvPicPr>
      </xdr:nvPicPr>
      <xdr:blipFill>
        <a:blip xmlns:r="http://schemas.openxmlformats.org/officeDocument/2006/relationships" r:embed="rId2"/>
        <a:stretch>
          <a:fillRect/>
        </a:stretch>
      </xdr:blipFill>
      <xdr:spPr>
        <a:xfrm>
          <a:off x="323850" y="219075"/>
          <a:ext cx="1657350" cy="63080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147636</xdr:colOff>
      <xdr:row>33</xdr:row>
      <xdr:rowOff>152400</xdr:rowOff>
    </xdr:from>
    <xdr:to>
      <xdr:col>9</xdr:col>
      <xdr:colOff>1142999</xdr:colOff>
      <xdr:row>56</xdr:row>
      <xdr:rowOff>133350</xdr:rowOff>
    </xdr:to>
    <xdr:graphicFrame macro="">
      <xdr:nvGraphicFramePr>
        <xdr:cNvPr id="2" name="Gràfic 1">
          <a:extLst>
            <a:ext uri="{FF2B5EF4-FFF2-40B4-BE49-F238E27FC236}">
              <a16:creationId xmlns:a16="http://schemas.microsoft.com/office/drawing/2014/main" id="{9DBFC338-6808-A9A4-ABE2-37713C63FE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352425</xdr:colOff>
      <xdr:row>1</xdr:row>
      <xdr:rowOff>19050</xdr:rowOff>
    </xdr:from>
    <xdr:to>
      <xdr:col>2</xdr:col>
      <xdr:colOff>742950</xdr:colOff>
      <xdr:row>1</xdr:row>
      <xdr:rowOff>649853</xdr:rowOff>
    </xdr:to>
    <xdr:pic>
      <xdr:nvPicPr>
        <xdr:cNvPr id="3" name="Imatge 2">
          <a:extLst>
            <a:ext uri="{FF2B5EF4-FFF2-40B4-BE49-F238E27FC236}">
              <a16:creationId xmlns:a16="http://schemas.microsoft.com/office/drawing/2014/main" id="{EFDCE07F-1FF1-49D0-A740-23099C5B3A08}"/>
            </a:ext>
          </a:extLst>
        </xdr:cNvPr>
        <xdr:cNvPicPr>
          <a:picLocks noChangeAspect="1"/>
        </xdr:cNvPicPr>
      </xdr:nvPicPr>
      <xdr:blipFill>
        <a:blip xmlns:r="http://schemas.openxmlformats.org/officeDocument/2006/relationships" r:embed="rId2"/>
        <a:stretch>
          <a:fillRect/>
        </a:stretch>
      </xdr:blipFill>
      <xdr:spPr>
        <a:xfrm>
          <a:off x="581025" y="219075"/>
          <a:ext cx="1657350" cy="63080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223837</xdr:colOff>
      <xdr:row>32</xdr:row>
      <xdr:rowOff>85725</xdr:rowOff>
    </xdr:from>
    <xdr:to>
      <xdr:col>8</xdr:col>
      <xdr:colOff>742950</xdr:colOff>
      <xdr:row>46</xdr:row>
      <xdr:rowOff>161925</xdr:rowOff>
    </xdr:to>
    <xdr:graphicFrame macro="">
      <xdr:nvGraphicFramePr>
        <xdr:cNvPr id="2" name="Gràfic 1">
          <a:extLst>
            <a:ext uri="{FF2B5EF4-FFF2-40B4-BE49-F238E27FC236}">
              <a16:creationId xmlns:a16="http://schemas.microsoft.com/office/drawing/2014/main" id="{3A6F1C72-111A-0118-E16B-2B4B568373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381000</xdr:colOff>
      <xdr:row>1</xdr:row>
      <xdr:rowOff>47625</xdr:rowOff>
    </xdr:from>
    <xdr:to>
      <xdr:col>2</xdr:col>
      <xdr:colOff>1095375</xdr:colOff>
      <xdr:row>1</xdr:row>
      <xdr:rowOff>678428</xdr:rowOff>
    </xdr:to>
    <xdr:pic>
      <xdr:nvPicPr>
        <xdr:cNvPr id="3" name="Imatge 2">
          <a:extLst>
            <a:ext uri="{FF2B5EF4-FFF2-40B4-BE49-F238E27FC236}">
              <a16:creationId xmlns:a16="http://schemas.microsoft.com/office/drawing/2014/main" id="{E1177E5C-C14F-48DA-9E94-AF9864A70384}"/>
            </a:ext>
          </a:extLst>
        </xdr:cNvPr>
        <xdr:cNvPicPr>
          <a:picLocks noChangeAspect="1"/>
        </xdr:cNvPicPr>
      </xdr:nvPicPr>
      <xdr:blipFill>
        <a:blip xmlns:r="http://schemas.openxmlformats.org/officeDocument/2006/relationships" r:embed="rId2"/>
        <a:stretch>
          <a:fillRect/>
        </a:stretch>
      </xdr:blipFill>
      <xdr:spPr>
        <a:xfrm>
          <a:off x="609600" y="247650"/>
          <a:ext cx="1657350" cy="63080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1</xdr:col>
      <xdr:colOff>23811</xdr:colOff>
      <xdr:row>39</xdr:row>
      <xdr:rowOff>9524</xdr:rowOff>
    </xdr:from>
    <xdr:to>
      <xdr:col>9</xdr:col>
      <xdr:colOff>1295400</xdr:colOff>
      <xdr:row>55</xdr:row>
      <xdr:rowOff>190500</xdr:rowOff>
    </xdr:to>
    <xdr:graphicFrame macro="">
      <xdr:nvGraphicFramePr>
        <xdr:cNvPr id="2" name="Gràfic 1">
          <a:extLst>
            <a:ext uri="{FF2B5EF4-FFF2-40B4-BE49-F238E27FC236}">
              <a16:creationId xmlns:a16="http://schemas.microsoft.com/office/drawing/2014/main" id="{6D089464-9AAD-0400-2FB2-0C67C7DD08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180975</xdr:colOff>
      <xdr:row>1</xdr:row>
      <xdr:rowOff>47625</xdr:rowOff>
    </xdr:from>
    <xdr:to>
      <xdr:col>2</xdr:col>
      <xdr:colOff>895350</xdr:colOff>
      <xdr:row>1</xdr:row>
      <xdr:rowOff>678428</xdr:rowOff>
    </xdr:to>
    <xdr:pic>
      <xdr:nvPicPr>
        <xdr:cNvPr id="3" name="Imatge 2">
          <a:extLst>
            <a:ext uri="{FF2B5EF4-FFF2-40B4-BE49-F238E27FC236}">
              <a16:creationId xmlns:a16="http://schemas.microsoft.com/office/drawing/2014/main" id="{3BFCF8A9-3733-42B6-8C6D-7607F935D2A9}"/>
            </a:ext>
          </a:extLst>
        </xdr:cNvPr>
        <xdr:cNvPicPr>
          <a:picLocks noChangeAspect="1"/>
        </xdr:cNvPicPr>
      </xdr:nvPicPr>
      <xdr:blipFill>
        <a:blip xmlns:r="http://schemas.openxmlformats.org/officeDocument/2006/relationships" r:embed="rId2"/>
        <a:stretch>
          <a:fillRect/>
        </a:stretch>
      </xdr:blipFill>
      <xdr:spPr>
        <a:xfrm>
          <a:off x="409575" y="247650"/>
          <a:ext cx="1657350" cy="63080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223837</xdr:colOff>
      <xdr:row>19</xdr:row>
      <xdr:rowOff>85725</xdr:rowOff>
    </xdr:from>
    <xdr:to>
      <xdr:col>5</xdr:col>
      <xdr:colOff>795337</xdr:colOff>
      <xdr:row>30</xdr:row>
      <xdr:rowOff>238125</xdr:rowOff>
    </xdr:to>
    <xdr:graphicFrame macro="">
      <xdr:nvGraphicFramePr>
        <xdr:cNvPr id="3" name="Gràfic 2">
          <a:extLst>
            <a:ext uri="{FF2B5EF4-FFF2-40B4-BE49-F238E27FC236}">
              <a16:creationId xmlns:a16="http://schemas.microsoft.com/office/drawing/2014/main" id="{26CE49B7-F12F-403D-B4F4-818B225CE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381000</xdr:colOff>
      <xdr:row>1</xdr:row>
      <xdr:rowOff>38100</xdr:rowOff>
    </xdr:from>
    <xdr:to>
      <xdr:col>2</xdr:col>
      <xdr:colOff>1095375</xdr:colOff>
      <xdr:row>1</xdr:row>
      <xdr:rowOff>668903</xdr:rowOff>
    </xdr:to>
    <xdr:pic>
      <xdr:nvPicPr>
        <xdr:cNvPr id="4" name="Imatge 3">
          <a:extLst>
            <a:ext uri="{FF2B5EF4-FFF2-40B4-BE49-F238E27FC236}">
              <a16:creationId xmlns:a16="http://schemas.microsoft.com/office/drawing/2014/main" id="{F318CEE4-0E57-4DC2-8371-3BB0D74D37A4}"/>
            </a:ext>
          </a:extLst>
        </xdr:cNvPr>
        <xdr:cNvPicPr>
          <a:picLocks noChangeAspect="1"/>
        </xdr:cNvPicPr>
      </xdr:nvPicPr>
      <xdr:blipFill>
        <a:blip xmlns:r="http://schemas.openxmlformats.org/officeDocument/2006/relationships" r:embed="rId2"/>
        <a:stretch>
          <a:fillRect/>
        </a:stretch>
      </xdr:blipFill>
      <xdr:spPr>
        <a:xfrm>
          <a:off x="609600" y="238125"/>
          <a:ext cx="1657350" cy="63080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223837</xdr:colOff>
      <xdr:row>19</xdr:row>
      <xdr:rowOff>85725</xdr:rowOff>
    </xdr:from>
    <xdr:to>
      <xdr:col>5</xdr:col>
      <xdr:colOff>795337</xdr:colOff>
      <xdr:row>30</xdr:row>
      <xdr:rowOff>238125</xdr:rowOff>
    </xdr:to>
    <xdr:graphicFrame macro="">
      <xdr:nvGraphicFramePr>
        <xdr:cNvPr id="3" name="Gràfic 2">
          <a:extLst>
            <a:ext uri="{FF2B5EF4-FFF2-40B4-BE49-F238E27FC236}">
              <a16:creationId xmlns:a16="http://schemas.microsoft.com/office/drawing/2014/main" id="{F68F1A9C-E85F-43C1-BA5A-5C50E1E2B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161925</xdr:colOff>
      <xdr:row>1</xdr:row>
      <xdr:rowOff>19050</xdr:rowOff>
    </xdr:from>
    <xdr:to>
      <xdr:col>3</xdr:col>
      <xdr:colOff>38100</xdr:colOff>
      <xdr:row>1</xdr:row>
      <xdr:rowOff>649853</xdr:rowOff>
    </xdr:to>
    <xdr:pic>
      <xdr:nvPicPr>
        <xdr:cNvPr id="4" name="Imatge 3">
          <a:extLst>
            <a:ext uri="{FF2B5EF4-FFF2-40B4-BE49-F238E27FC236}">
              <a16:creationId xmlns:a16="http://schemas.microsoft.com/office/drawing/2014/main" id="{7C7B3525-4670-49A3-AF2A-E8E237F77E2C}"/>
            </a:ext>
          </a:extLst>
        </xdr:cNvPr>
        <xdr:cNvPicPr>
          <a:picLocks noChangeAspect="1"/>
        </xdr:cNvPicPr>
      </xdr:nvPicPr>
      <xdr:blipFill>
        <a:blip xmlns:r="http://schemas.openxmlformats.org/officeDocument/2006/relationships" r:embed="rId2"/>
        <a:stretch>
          <a:fillRect/>
        </a:stretch>
      </xdr:blipFill>
      <xdr:spPr>
        <a:xfrm>
          <a:off x="390525" y="219075"/>
          <a:ext cx="1657350" cy="63080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157162</xdr:colOff>
      <xdr:row>23</xdr:row>
      <xdr:rowOff>114300</xdr:rowOff>
    </xdr:from>
    <xdr:to>
      <xdr:col>5</xdr:col>
      <xdr:colOff>728662</xdr:colOff>
      <xdr:row>34</xdr:row>
      <xdr:rowOff>133350</xdr:rowOff>
    </xdr:to>
    <xdr:graphicFrame macro="">
      <xdr:nvGraphicFramePr>
        <xdr:cNvPr id="2" name="Gràfic 1">
          <a:extLst>
            <a:ext uri="{FF2B5EF4-FFF2-40B4-BE49-F238E27FC236}">
              <a16:creationId xmlns:a16="http://schemas.microsoft.com/office/drawing/2014/main" id="{6D775453-8668-686D-0B00-62607ADDFF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28575</xdr:rowOff>
    </xdr:from>
    <xdr:to>
      <xdr:col>2</xdr:col>
      <xdr:colOff>819150</xdr:colOff>
      <xdr:row>1</xdr:row>
      <xdr:rowOff>659378</xdr:rowOff>
    </xdr:to>
    <xdr:pic>
      <xdr:nvPicPr>
        <xdr:cNvPr id="4" name="Imatge 3">
          <a:extLst>
            <a:ext uri="{FF2B5EF4-FFF2-40B4-BE49-F238E27FC236}">
              <a16:creationId xmlns:a16="http://schemas.microsoft.com/office/drawing/2014/main" id="{129119FD-EFE6-4FF7-9BB9-216D59233C86}"/>
            </a:ext>
          </a:extLst>
        </xdr:cNvPr>
        <xdr:cNvPicPr>
          <a:picLocks noChangeAspect="1"/>
        </xdr:cNvPicPr>
      </xdr:nvPicPr>
      <xdr:blipFill>
        <a:blip xmlns:r="http://schemas.openxmlformats.org/officeDocument/2006/relationships" r:embed="rId2"/>
        <a:stretch>
          <a:fillRect/>
        </a:stretch>
      </xdr:blipFill>
      <xdr:spPr>
        <a:xfrm>
          <a:off x="333375" y="228600"/>
          <a:ext cx="1657350" cy="63080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157162</xdr:colOff>
      <xdr:row>21</xdr:row>
      <xdr:rowOff>114300</xdr:rowOff>
    </xdr:from>
    <xdr:to>
      <xdr:col>5</xdr:col>
      <xdr:colOff>728662</xdr:colOff>
      <xdr:row>32</xdr:row>
      <xdr:rowOff>133350</xdr:rowOff>
    </xdr:to>
    <xdr:graphicFrame macro="">
      <xdr:nvGraphicFramePr>
        <xdr:cNvPr id="3" name="Gràfic 2">
          <a:extLst>
            <a:ext uri="{FF2B5EF4-FFF2-40B4-BE49-F238E27FC236}">
              <a16:creationId xmlns:a16="http://schemas.microsoft.com/office/drawing/2014/main" id="{464A7C77-24E6-4150-A8C6-ED0010DBA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257175</xdr:colOff>
      <xdr:row>1</xdr:row>
      <xdr:rowOff>28575</xdr:rowOff>
    </xdr:from>
    <xdr:to>
      <xdr:col>2</xdr:col>
      <xdr:colOff>971550</xdr:colOff>
      <xdr:row>1</xdr:row>
      <xdr:rowOff>659378</xdr:rowOff>
    </xdr:to>
    <xdr:pic>
      <xdr:nvPicPr>
        <xdr:cNvPr id="4" name="Imatge 3">
          <a:extLst>
            <a:ext uri="{FF2B5EF4-FFF2-40B4-BE49-F238E27FC236}">
              <a16:creationId xmlns:a16="http://schemas.microsoft.com/office/drawing/2014/main" id="{C0FA6176-9342-4FA3-AD97-3C2D2246239A}"/>
            </a:ext>
          </a:extLst>
        </xdr:cNvPr>
        <xdr:cNvPicPr>
          <a:picLocks noChangeAspect="1"/>
        </xdr:cNvPicPr>
      </xdr:nvPicPr>
      <xdr:blipFill>
        <a:blip xmlns:r="http://schemas.openxmlformats.org/officeDocument/2006/relationships" r:embed="rId2"/>
        <a:stretch>
          <a:fillRect/>
        </a:stretch>
      </xdr:blipFill>
      <xdr:spPr>
        <a:xfrm>
          <a:off x="485775" y="228600"/>
          <a:ext cx="1657350" cy="6308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19</xdr:row>
      <xdr:rowOff>114300</xdr:rowOff>
    </xdr:from>
    <xdr:to>
      <xdr:col>8</xdr:col>
      <xdr:colOff>257175</xdr:colOff>
      <xdr:row>32</xdr:row>
      <xdr:rowOff>76200</xdr:rowOff>
    </xdr:to>
    <xdr:graphicFrame macro="">
      <xdr:nvGraphicFramePr>
        <xdr:cNvPr id="3" name="Gràfic 2">
          <a:extLst>
            <a:ext uri="{FF2B5EF4-FFF2-40B4-BE49-F238E27FC236}">
              <a16:creationId xmlns:a16="http://schemas.microsoft.com/office/drawing/2014/main" id="{B98EF74D-A702-4D6A-A2D3-F4A82AE60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723900</xdr:colOff>
      <xdr:row>1</xdr:row>
      <xdr:rowOff>47625</xdr:rowOff>
    </xdr:from>
    <xdr:to>
      <xdr:col>2</xdr:col>
      <xdr:colOff>1438275</xdr:colOff>
      <xdr:row>1</xdr:row>
      <xdr:rowOff>678428</xdr:rowOff>
    </xdr:to>
    <xdr:pic>
      <xdr:nvPicPr>
        <xdr:cNvPr id="4" name="Imatge 3">
          <a:extLst>
            <a:ext uri="{FF2B5EF4-FFF2-40B4-BE49-F238E27FC236}">
              <a16:creationId xmlns:a16="http://schemas.microsoft.com/office/drawing/2014/main" id="{05D66B08-253A-4FF7-859E-505B4F5B4A67}"/>
            </a:ext>
          </a:extLst>
        </xdr:cNvPr>
        <xdr:cNvPicPr>
          <a:picLocks noChangeAspect="1"/>
        </xdr:cNvPicPr>
      </xdr:nvPicPr>
      <xdr:blipFill>
        <a:blip xmlns:r="http://schemas.openxmlformats.org/officeDocument/2006/relationships" r:embed="rId2"/>
        <a:stretch>
          <a:fillRect/>
        </a:stretch>
      </xdr:blipFill>
      <xdr:spPr>
        <a:xfrm>
          <a:off x="952500" y="247650"/>
          <a:ext cx="1657350" cy="63080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90487</xdr:colOff>
      <xdr:row>37</xdr:row>
      <xdr:rowOff>190499</xdr:rowOff>
    </xdr:from>
    <xdr:to>
      <xdr:col>9</xdr:col>
      <xdr:colOff>695325</xdr:colOff>
      <xdr:row>57</xdr:row>
      <xdr:rowOff>219074</xdr:rowOff>
    </xdr:to>
    <xdr:graphicFrame macro="">
      <xdr:nvGraphicFramePr>
        <xdr:cNvPr id="2" name="Gràfic 1">
          <a:extLst>
            <a:ext uri="{FF2B5EF4-FFF2-40B4-BE49-F238E27FC236}">
              <a16:creationId xmlns:a16="http://schemas.microsoft.com/office/drawing/2014/main" id="{1D7D47E8-FB30-DC6E-CB66-31EE5AF711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133350</xdr:colOff>
      <xdr:row>1</xdr:row>
      <xdr:rowOff>9525</xdr:rowOff>
    </xdr:from>
    <xdr:to>
      <xdr:col>2</xdr:col>
      <xdr:colOff>847725</xdr:colOff>
      <xdr:row>1</xdr:row>
      <xdr:rowOff>640328</xdr:rowOff>
    </xdr:to>
    <xdr:pic>
      <xdr:nvPicPr>
        <xdr:cNvPr id="3" name="Imatge 2">
          <a:extLst>
            <a:ext uri="{FF2B5EF4-FFF2-40B4-BE49-F238E27FC236}">
              <a16:creationId xmlns:a16="http://schemas.microsoft.com/office/drawing/2014/main" id="{BA64E3ED-B34E-4C0F-A01F-6C17AD789840}"/>
            </a:ext>
          </a:extLst>
        </xdr:cNvPr>
        <xdr:cNvPicPr>
          <a:picLocks noChangeAspect="1"/>
        </xdr:cNvPicPr>
      </xdr:nvPicPr>
      <xdr:blipFill>
        <a:blip xmlns:r="http://schemas.openxmlformats.org/officeDocument/2006/relationships" r:embed="rId2"/>
        <a:stretch>
          <a:fillRect/>
        </a:stretch>
      </xdr:blipFill>
      <xdr:spPr>
        <a:xfrm>
          <a:off x="361950" y="209550"/>
          <a:ext cx="1657350" cy="63080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195262</xdr:colOff>
      <xdr:row>30</xdr:row>
      <xdr:rowOff>171450</xdr:rowOff>
    </xdr:from>
    <xdr:to>
      <xdr:col>8</xdr:col>
      <xdr:colOff>114300</xdr:colOff>
      <xdr:row>46</xdr:row>
      <xdr:rowOff>152400</xdr:rowOff>
    </xdr:to>
    <xdr:graphicFrame macro="">
      <xdr:nvGraphicFramePr>
        <xdr:cNvPr id="4" name="Gràfic 3">
          <a:extLst>
            <a:ext uri="{FF2B5EF4-FFF2-40B4-BE49-F238E27FC236}">
              <a16:creationId xmlns:a16="http://schemas.microsoft.com/office/drawing/2014/main" id="{8E7A62F7-CD1F-A813-1466-D3D468164E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152400</xdr:colOff>
      <xdr:row>1</xdr:row>
      <xdr:rowOff>28575</xdr:rowOff>
    </xdr:from>
    <xdr:to>
      <xdr:col>2</xdr:col>
      <xdr:colOff>866775</xdr:colOff>
      <xdr:row>1</xdr:row>
      <xdr:rowOff>659378</xdr:rowOff>
    </xdr:to>
    <xdr:pic>
      <xdr:nvPicPr>
        <xdr:cNvPr id="2" name="Imatge 1">
          <a:extLst>
            <a:ext uri="{FF2B5EF4-FFF2-40B4-BE49-F238E27FC236}">
              <a16:creationId xmlns:a16="http://schemas.microsoft.com/office/drawing/2014/main" id="{15FA20C9-5E73-4DCD-B888-6E6A74967FC9}"/>
            </a:ext>
          </a:extLst>
        </xdr:cNvPr>
        <xdr:cNvPicPr>
          <a:picLocks noChangeAspect="1"/>
        </xdr:cNvPicPr>
      </xdr:nvPicPr>
      <xdr:blipFill>
        <a:blip xmlns:r="http://schemas.openxmlformats.org/officeDocument/2006/relationships" r:embed="rId2"/>
        <a:stretch>
          <a:fillRect/>
        </a:stretch>
      </xdr:blipFill>
      <xdr:spPr>
        <a:xfrm>
          <a:off x="381000" y="228600"/>
          <a:ext cx="1657350" cy="63080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185737</xdr:colOff>
      <xdr:row>30</xdr:row>
      <xdr:rowOff>209550</xdr:rowOff>
    </xdr:from>
    <xdr:to>
      <xdr:col>9</xdr:col>
      <xdr:colOff>409575</xdr:colOff>
      <xdr:row>51</xdr:row>
      <xdr:rowOff>152400</xdr:rowOff>
    </xdr:to>
    <xdr:graphicFrame macro="">
      <xdr:nvGraphicFramePr>
        <xdr:cNvPr id="2" name="Gràfic 1">
          <a:extLst>
            <a:ext uri="{FF2B5EF4-FFF2-40B4-BE49-F238E27FC236}">
              <a16:creationId xmlns:a16="http://schemas.microsoft.com/office/drawing/2014/main" id="{74D3889F-9505-830F-D77E-925363384B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142875</xdr:colOff>
      <xdr:row>1</xdr:row>
      <xdr:rowOff>66675</xdr:rowOff>
    </xdr:from>
    <xdr:to>
      <xdr:col>2</xdr:col>
      <xdr:colOff>857250</xdr:colOff>
      <xdr:row>1</xdr:row>
      <xdr:rowOff>697478</xdr:rowOff>
    </xdr:to>
    <xdr:pic>
      <xdr:nvPicPr>
        <xdr:cNvPr id="3" name="Imatge 2">
          <a:extLst>
            <a:ext uri="{FF2B5EF4-FFF2-40B4-BE49-F238E27FC236}">
              <a16:creationId xmlns:a16="http://schemas.microsoft.com/office/drawing/2014/main" id="{0D024E0A-321B-47AD-B008-46128967B569}"/>
            </a:ext>
          </a:extLst>
        </xdr:cNvPr>
        <xdr:cNvPicPr>
          <a:picLocks noChangeAspect="1"/>
        </xdr:cNvPicPr>
      </xdr:nvPicPr>
      <xdr:blipFill>
        <a:blip xmlns:r="http://schemas.openxmlformats.org/officeDocument/2006/relationships" r:embed="rId2"/>
        <a:stretch>
          <a:fillRect/>
        </a:stretch>
      </xdr:blipFill>
      <xdr:spPr>
        <a:xfrm>
          <a:off x="371475" y="266700"/>
          <a:ext cx="1657350" cy="63080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36</xdr:row>
      <xdr:rowOff>0</xdr:rowOff>
    </xdr:from>
    <xdr:to>
      <xdr:col>8</xdr:col>
      <xdr:colOff>1517651</xdr:colOff>
      <xdr:row>48</xdr:row>
      <xdr:rowOff>44451</xdr:rowOff>
    </xdr:to>
    <xdr:graphicFrame macro="">
      <xdr:nvGraphicFramePr>
        <xdr:cNvPr id="3" name="Gràfic 2">
          <a:extLst>
            <a:ext uri="{FF2B5EF4-FFF2-40B4-BE49-F238E27FC236}">
              <a16:creationId xmlns:a16="http://schemas.microsoft.com/office/drawing/2014/main" id="{0126CDB6-E64E-4E6B-8039-DCE748458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352425</xdr:colOff>
      <xdr:row>1</xdr:row>
      <xdr:rowOff>28575</xdr:rowOff>
    </xdr:from>
    <xdr:to>
      <xdr:col>2</xdr:col>
      <xdr:colOff>1066800</xdr:colOff>
      <xdr:row>1</xdr:row>
      <xdr:rowOff>659378</xdr:rowOff>
    </xdr:to>
    <xdr:pic>
      <xdr:nvPicPr>
        <xdr:cNvPr id="2" name="Imatge 1">
          <a:extLst>
            <a:ext uri="{FF2B5EF4-FFF2-40B4-BE49-F238E27FC236}">
              <a16:creationId xmlns:a16="http://schemas.microsoft.com/office/drawing/2014/main" id="{9F4F9886-959E-4956-855A-5CA4D5103C5C}"/>
            </a:ext>
          </a:extLst>
        </xdr:cNvPr>
        <xdr:cNvPicPr>
          <a:picLocks noChangeAspect="1"/>
        </xdr:cNvPicPr>
      </xdr:nvPicPr>
      <xdr:blipFill>
        <a:blip xmlns:r="http://schemas.openxmlformats.org/officeDocument/2006/relationships" r:embed="rId2"/>
        <a:stretch>
          <a:fillRect/>
        </a:stretch>
      </xdr:blipFill>
      <xdr:spPr>
        <a:xfrm>
          <a:off x="581025" y="228600"/>
          <a:ext cx="1657350" cy="63080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80961</xdr:colOff>
      <xdr:row>31</xdr:row>
      <xdr:rowOff>85725</xdr:rowOff>
    </xdr:from>
    <xdr:to>
      <xdr:col>8</xdr:col>
      <xdr:colOff>390524</xdr:colOff>
      <xdr:row>53</xdr:row>
      <xdr:rowOff>28575</xdr:rowOff>
    </xdr:to>
    <xdr:graphicFrame macro="">
      <xdr:nvGraphicFramePr>
        <xdr:cNvPr id="2" name="Gràfic 1">
          <a:extLst>
            <a:ext uri="{FF2B5EF4-FFF2-40B4-BE49-F238E27FC236}">
              <a16:creationId xmlns:a16="http://schemas.microsoft.com/office/drawing/2014/main" id="{66528BF2-4B25-FDC3-3B60-BFF7A0E720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304800</xdr:colOff>
      <xdr:row>1</xdr:row>
      <xdr:rowOff>19050</xdr:rowOff>
    </xdr:from>
    <xdr:to>
      <xdr:col>3</xdr:col>
      <xdr:colOff>361950</xdr:colOff>
      <xdr:row>1</xdr:row>
      <xdr:rowOff>649853</xdr:rowOff>
    </xdr:to>
    <xdr:pic>
      <xdr:nvPicPr>
        <xdr:cNvPr id="4" name="Imatge 3">
          <a:extLst>
            <a:ext uri="{FF2B5EF4-FFF2-40B4-BE49-F238E27FC236}">
              <a16:creationId xmlns:a16="http://schemas.microsoft.com/office/drawing/2014/main" id="{041DD1F2-7A5B-4358-B5C7-DC3308D81C67}"/>
            </a:ext>
          </a:extLst>
        </xdr:cNvPr>
        <xdr:cNvPicPr>
          <a:picLocks noChangeAspect="1"/>
        </xdr:cNvPicPr>
      </xdr:nvPicPr>
      <xdr:blipFill>
        <a:blip xmlns:r="http://schemas.openxmlformats.org/officeDocument/2006/relationships" r:embed="rId2"/>
        <a:stretch>
          <a:fillRect/>
        </a:stretch>
      </xdr:blipFill>
      <xdr:spPr>
        <a:xfrm>
          <a:off x="533400" y="219075"/>
          <a:ext cx="1657350" cy="63080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185737</xdr:colOff>
      <xdr:row>38</xdr:row>
      <xdr:rowOff>209549</xdr:rowOff>
    </xdr:from>
    <xdr:to>
      <xdr:col>8</xdr:col>
      <xdr:colOff>447675</xdr:colOff>
      <xdr:row>55</xdr:row>
      <xdr:rowOff>85724</xdr:rowOff>
    </xdr:to>
    <xdr:graphicFrame macro="">
      <xdr:nvGraphicFramePr>
        <xdr:cNvPr id="2" name="Gràfic 1">
          <a:extLst>
            <a:ext uri="{FF2B5EF4-FFF2-40B4-BE49-F238E27FC236}">
              <a16:creationId xmlns:a16="http://schemas.microsoft.com/office/drawing/2014/main" id="{F25BF9D3-9BF3-FB4C-5CEF-271161212B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133350</xdr:colOff>
      <xdr:row>1</xdr:row>
      <xdr:rowOff>19050</xdr:rowOff>
    </xdr:from>
    <xdr:to>
      <xdr:col>2</xdr:col>
      <xdr:colOff>847725</xdr:colOff>
      <xdr:row>1</xdr:row>
      <xdr:rowOff>649853</xdr:rowOff>
    </xdr:to>
    <xdr:pic>
      <xdr:nvPicPr>
        <xdr:cNvPr id="3" name="Imatge 2">
          <a:extLst>
            <a:ext uri="{FF2B5EF4-FFF2-40B4-BE49-F238E27FC236}">
              <a16:creationId xmlns:a16="http://schemas.microsoft.com/office/drawing/2014/main" id="{E7752EBC-E4E9-4EC6-8826-0BB3DBD1D6E0}"/>
            </a:ext>
          </a:extLst>
        </xdr:cNvPr>
        <xdr:cNvPicPr>
          <a:picLocks noChangeAspect="1"/>
        </xdr:cNvPicPr>
      </xdr:nvPicPr>
      <xdr:blipFill>
        <a:blip xmlns:r="http://schemas.openxmlformats.org/officeDocument/2006/relationships" r:embed="rId2"/>
        <a:stretch>
          <a:fillRect/>
        </a:stretch>
      </xdr:blipFill>
      <xdr:spPr>
        <a:xfrm>
          <a:off x="361950" y="219075"/>
          <a:ext cx="1657350" cy="63080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223836</xdr:colOff>
      <xdr:row>20</xdr:row>
      <xdr:rowOff>85725</xdr:rowOff>
    </xdr:from>
    <xdr:to>
      <xdr:col>7</xdr:col>
      <xdr:colOff>476249</xdr:colOff>
      <xdr:row>34</xdr:row>
      <xdr:rowOff>47625</xdr:rowOff>
    </xdr:to>
    <xdr:graphicFrame macro="">
      <xdr:nvGraphicFramePr>
        <xdr:cNvPr id="3" name="Gràfic 2">
          <a:extLst>
            <a:ext uri="{FF2B5EF4-FFF2-40B4-BE49-F238E27FC236}">
              <a16:creationId xmlns:a16="http://schemas.microsoft.com/office/drawing/2014/main" id="{F63DC2E8-0B51-44BF-9D43-C10884264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95250</xdr:colOff>
      <xdr:row>1</xdr:row>
      <xdr:rowOff>28575</xdr:rowOff>
    </xdr:from>
    <xdr:to>
      <xdr:col>2</xdr:col>
      <xdr:colOff>809625</xdr:colOff>
      <xdr:row>1</xdr:row>
      <xdr:rowOff>659378</xdr:rowOff>
    </xdr:to>
    <xdr:pic>
      <xdr:nvPicPr>
        <xdr:cNvPr id="4" name="Imatge 3">
          <a:extLst>
            <a:ext uri="{FF2B5EF4-FFF2-40B4-BE49-F238E27FC236}">
              <a16:creationId xmlns:a16="http://schemas.microsoft.com/office/drawing/2014/main" id="{235DF416-99F1-41A9-BB26-8E04275C716B}"/>
            </a:ext>
          </a:extLst>
        </xdr:cNvPr>
        <xdr:cNvPicPr>
          <a:picLocks noChangeAspect="1"/>
        </xdr:cNvPicPr>
      </xdr:nvPicPr>
      <xdr:blipFill>
        <a:blip xmlns:r="http://schemas.openxmlformats.org/officeDocument/2006/relationships" r:embed="rId2"/>
        <a:stretch>
          <a:fillRect/>
        </a:stretch>
      </xdr:blipFill>
      <xdr:spPr>
        <a:xfrm>
          <a:off x="323850" y="228600"/>
          <a:ext cx="1657350" cy="63080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oneCellAnchor>
    <xdr:from>
      <xdr:col>0</xdr:col>
      <xdr:colOff>19050</xdr:colOff>
      <xdr:row>40</xdr:row>
      <xdr:rowOff>209550</xdr:rowOff>
    </xdr:from>
    <xdr:ext cx="4295775" cy="2714625"/>
    <xdr:graphicFrame macro="">
      <xdr:nvGraphicFramePr>
        <xdr:cNvPr id="4" name="Chart 1" title="Gràfic">
          <a:extLst>
            <a:ext uri="{FF2B5EF4-FFF2-40B4-BE49-F238E27FC236}">
              <a16:creationId xmlns:a16="http://schemas.microsoft.com/office/drawing/2014/main" id="{1ABD1748-F3B1-4140-BCEB-2873AAE1D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0</xdr:col>
      <xdr:colOff>0</xdr:colOff>
      <xdr:row>53</xdr:row>
      <xdr:rowOff>92075</xdr:rowOff>
    </xdr:from>
    <xdr:to>
      <xdr:col>9</xdr:col>
      <xdr:colOff>165101</xdr:colOff>
      <xdr:row>77</xdr:row>
      <xdr:rowOff>38101</xdr:rowOff>
    </xdr:to>
    <xdr:graphicFrame macro="">
      <xdr:nvGraphicFramePr>
        <xdr:cNvPr id="2" name="Gràfic 1">
          <a:extLst>
            <a:ext uri="{FF2B5EF4-FFF2-40B4-BE49-F238E27FC236}">
              <a16:creationId xmlns:a16="http://schemas.microsoft.com/office/drawing/2014/main" id="{DF51422E-6499-1B2E-851F-D529846042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171450</xdr:colOff>
      <xdr:row>1</xdr:row>
      <xdr:rowOff>66675</xdr:rowOff>
    </xdr:from>
    <xdr:to>
      <xdr:col>2</xdr:col>
      <xdr:colOff>885825</xdr:colOff>
      <xdr:row>1</xdr:row>
      <xdr:rowOff>697478</xdr:rowOff>
    </xdr:to>
    <xdr:pic>
      <xdr:nvPicPr>
        <xdr:cNvPr id="3" name="Imatge 2">
          <a:extLst>
            <a:ext uri="{FF2B5EF4-FFF2-40B4-BE49-F238E27FC236}">
              <a16:creationId xmlns:a16="http://schemas.microsoft.com/office/drawing/2014/main" id="{BBD0432A-4635-4E61-BA6F-CE6A254A776E}"/>
            </a:ext>
          </a:extLst>
        </xdr:cNvPr>
        <xdr:cNvPicPr>
          <a:picLocks noChangeAspect="1"/>
        </xdr:cNvPicPr>
      </xdr:nvPicPr>
      <xdr:blipFill>
        <a:blip xmlns:r="http://schemas.openxmlformats.org/officeDocument/2006/relationships" r:embed="rId3"/>
        <a:stretch>
          <a:fillRect/>
        </a:stretch>
      </xdr:blipFill>
      <xdr:spPr>
        <a:xfrm>
          <a:off x="400050" y="266700"/>
          <a:ext cx="1657350" cy="63080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187324</xdr:colOff>
      <xdr:row>41</xdr:row>
      <xdr:rowOff>41274</xdr:rowOff>
    </xdr:from>
    <xdr:to>
      <xdr:col>8</xdr:col>
      <xdr:colOff>457199</xdr:colOff>
      <xdr:row>54</xdr:row>
      <xdr:rowOff>228599</xdr:rowOff>
    </xdr:to>
    <xdr:graphicFrame macro="">
      <xdr:nvGraphicFramePr>
        <xdr:cNvPr id="3" name="Gràfic 2">
          <a:extLst>
            <a:ext uri="{FF2B5EF4-FFF2-40B4-BE49-F238E27FC236}">
              <a16:creationId xmlns:a16="http://schemas.microsoft.com/office/drawing/2014/main" id="{0CBF5794-5DA3-E6FE-94E8-A679D175E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360091</xdr:colOff>
      <xdr:row>1</xdr:row>
      <xdr:rowOff>69695</xdr:rowOff>
    </xdr:from>
    <xdr:to>
      <xdr:col>2</xdr:col>
      <xdr:colOff>1076557</xdr:colOff>
      <xdr:row>1</xdr:row>
      <xdr:rowOff>700498</xdr:rowOff>
    </xdr:to>
    <xdr:pic>
      <xdr:nvPicPr>
        <xdr:cNvPr id="2" name="Imatge 1">
          <a:extLst>
            <a:ext uri="{FF2B5EF4-FFF2-40B4-BE49-F238E27FC236}">
              <a16:creationId xmlns:a16="http://schemas.microsoft.com/office/drawing/2014/main" id="{9E0A7E53-73EC-4078-8060-1753F79894A8}"/>
            </a:ext>
          </a:extLst>
        </xdr:cNvPr>
        <xdr:cNvPicPr>
          <a:picLocks noChangeAspect="1"/>
        </xdr:cNvPicPr>
      </xdr:nvPicPr>
      <xdr:blipFill>
        <a:blip xmlns:r="http://schemas.openxmlformats.org/officeDocument/2006/relationships" r:embed="rId2"/>
        <a:stretch>
          <a:fillRect/>
        </a:stretch>
      </xdr:blipFill>
      <xdr:spPr>
        <a:xfrm>
          <a:off x="592408" y="267165"/>
          <a:ext cx="1657350" cy="63080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180974</xdr:colOff>
      <xdr:row>38</xdr:row>
      <xdr:rowOff>285749</xdr:rowOff>
    </xdr:from>
    <xdr:to>
      <xdr:col>9</xdr:col>
      <xdr:colOff>876299</xdr:colOff>
      <xdr:row>59</xdr:row>
      <xdr:rowOff>47624</xdr:rowOff>
    </xdr:to>
    <xdr:graphicFrame macro="">
      <xdr:nvGraphicFramePr>
        <xdr:cNvPr id="2" name="Gràfic 1">
          <a:extLst>
            <a:ext uri="{FF2B5EF4-FFF2-40B4-BE49-F238E27FC236}">
              <a16:creationId xmlns:a16="http://schemas.microsoft.com/office/drawing/2014/main" id="{D6D4D0F8-E48F-3374-B594-B36F5BBAF0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342900</xdr:colOff>
      <xdr:row>1</xdr:row>
      <xdr:rowOff>47625</xdr:rowOff>
    </xdr:from>
    <xdr:to>
      <xdr:col>2</xdr:col>
      <xdr:colOff>1057275</xdr:colOff>
      <xdr:row>1</xdr:row>
      <xdr:rowOff>678428</xdr:rowOff>
    </xdr:to>
    <xdr:pic>
      <xdr:nvPicPr>
        <xdr:cNvPr id="3" name="Imatge 2">
          <a:extLst>
            <a:ext uri="{FF2B5EF4-FFF2-40B4-BE49-F238E27FC236}">
              <a16:creationId xmlns:a16="http://schemas.microsoft.com/office/drawing/2014/main" id="{AA82A74F-2F98-42B1-BBBD-D016B14A5CC3}"/>
            </a:ext>
          </a:extLst>
        </xdr:cNvPr>
        <xdr:cNvPicPr>
          <a:picLocks noChangeAspect="1"/>
        </xdr:cNvPicPr>
      </xdr:nvPicPr>
      <xdr:blipFill>
        <a:blip xmlns:r="http://schemas.openxmlformats.org/officeDocument/2006/relationships" r:embed="rId2"/>
        <a:stretch>
          <a:fillRect/>
        </a:stretch>
      </xdr:blipFill>
      <xdr:spPr>
        <a:xfrm>
          <a:off x="571500" y="247650"/>
          <a:ext cx="1657350" cy="6308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17461</xdr:colOff>
      <xdr:row>21</xdr:row>
      <xdr:rowOff>103715</xdr:rowOff>
    </xdr:from>
    <xdr:to>
      <xdr:col>10</xdr:col>
      <xdr:colOff>296118</xdr:colOff>
      <xdr:row>51</xdr:row>
      <xdr:rowOff>42548</xdr:rowOff>
    </xdr:to>
    <xdr:graphicFrame macro="">
      <xdr:nvGraphicFramePr>
        <xdr:cNvPr id="3" name="Gràfic 2">
          <a:extLst>
            <a:ext uri="{FF2B5EF4-FFF2-40B4-BE49-F238E27FC236}">
              <a16:creationId xmlns:a16="http://schemas.microsoft.com/office/drawing/2014/main" id="{F918DBE9-8B41-21D6-CE9D-0375321C9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529167</xdr:colOff>
      <xdr:row>1</xdr:row>
      <xdr:rowOff>42333</xdr:rowOff>
    </xdr:from>
    <xdr:to>
      <xdr:col>2</xdr:col>
      <xdr:colOff>1090083</xdr:colOff>
      <xdr:row>1</xdr:row>
      <xdr:rowOff>489454</xdr:rowOff>
    </xdr:to>
    <xdr:pic>
      <xdr:nvPicPr>
        <xdr:cNvPr id="4" name="Imatge 3">
          <a:extLst>
            <a:ext uri="{FF2B5EF4-FFF2-40B4-BE49-F238E27FC236}">
              <a16:creationId xmlns:a16="http://schemas.microsoft.com/office/drawing/2014/main" id="{CC92F3F2-8A02-4741-956A-A5100C3F6C76}"/>
            </a:ext>
          </a:extLst>
        </xdr:cNvPr>
        <xdr:cNvPicPr>
          <a:picLocks noChangeAspect="1"/>
        </xdr:cNvPicPr>
      </xdr:nvPicPr>
      <xdr:blipFill>
        <a:blip xmlns:r="http://schemas.openxmlformats.org/officeDocument/2006/relationships" r:embed="rId2"/>
        <a:stretch>
          <a:fillRect/>
        </a:stretch>
      </xdr:blipFill>
      <xdr:spPr>
        <a:xfrm>
          <a:off x="1143000" y="201083"/>
          <a:ext cx="1174750" cy="44712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214311</xdr:colOff>
      <xdr:row>42</xdr:row>
      <xdr:rowOff>152400</xdr:rowOff>
    </xdr:from>
    <xdr:to>
      <xdr:col>8</xdr:col>
      <xdr:colOff>809624</xdr:colOff>
      <xdr:row>61</xdr:row>
      <xdr:rowOff>0</xdr:rowOff>
    </xdr:to>
    <xdr:graphicFrame macro="">
      <xdr:nvGraphicFramePr>
        <xdr:cNvPr id="2" name="Gràfic 1">
          <a:extLst>
            <a:ext uri="{FF2B5EF4-FFF2-40B4-BE49-F238E27FC236}">
              <a16:creationId xmlns:a16="http://schemas.microsoft.com/office/drawing/2014/main" id="{52688B63-FE70-0915-5202-D21AE00EB1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161925</xdr:colOff>
      <xdr:row>1</xdr:row>
      <xdr:rowOff>47625</xdr:rowOff>
    </xdr:from>
    <xdr:to>
      <xdr:col>2</xdr:col>
      <xdr:colOff>876300</xdr:colOff>
      <xdr:row>1</xdr:row>
      <xdr:rowOff>678428</xdr:rowOff>
    </xdr:to>
    <xdr:pic>
      <xdr:nvPicPr>
        <xdr:cNvPr id="3" name="Imatge 2">
          <a:extLst>
            <a:ext uri="{FF2B5EF4-FFF2-40B4-BE49-F238E27FC236}">
              <a16:creationId xmlns:a16="http://schemas.microsoft.com/office/drawing/2014/main" id="{9078DE0E-64F5-4FAF-84B2-89E364D61CCB}"/>
            </a:ext>
          </a:extLst>
        </xdr:cNvPr>
        <xdr:cNvPicPr>
          <a:picLocks noChangeAspect="1"/>
        </xdr:cNvPicPr>
      </xdr:nvPicPr>
      <xdr:blipFill>
        <a:blip xmlns:r="http://schemas.openxmlformats.org/officeDocument/2006/relationships" r:embed="rId2"/>
        <a:stretch>
          <a:fillRect/>
        </a:stretch>
      </xdr:blipFill>
      <xdr:spPr>
        <a:xfrm>
          <a:off x="390525" y="247650"/>
          <a:ext cx="1657350" cy="63080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138112</xdr:colOff>
      <xdr:row>18</xdr:row>
      <xdr:rowOff>209550</xdr:rowOff>
    </xdr:from>
    <xdr:to>
      <xdr:col>5</xdr:col>
      <xdr:colOff>709612</xdr:colOff>
      <xdr:row>30</xdr:row>
      <xdr:rowOff>114300</xdr:rowOff>
    </xdr:to>
    <xdr:graphicFrame macro="">
      <xdr:nvGraphicFramePr>
        <xdr:cNvPr id="2" name="Gràfic 1">
          <a:extLst>
            <a:ext uri="{FF2B5EF4-FFF2-40B4-BE49-F238E27FC236}">
              <a16:creationId xmlns:a16="http://schemas.microsoft.com/office/drawing/2014/main" id="{C36535B7-430B-CC04-EB8B-3EF563A387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219075</xdr:colOff>
      <xdr:row>1</xdr:row>
      <xdr:rowOff>28575</xdr:rowOff>
    </xdr:from>
    <xdr:to>
      <xdr:col>2</xdr:col>
      <xdr:colOff>933450</xdr:colOff>
      <xdr:row>1</xdr:row>
      <xdr:rowOff>659378</xdr:rowOff>
    </xdr:to>
    <xdr:pic>
      <xdr:nvPicPr>
        <xdr:cNvPr id="3" name="Imatge 2">
          <a:extLst>
            <a:ext uri="{FF2B5EF4-FFF2-40B4-BE49-F238E27FC236}">
              <a16:creationId xmlns:a16="http://schemas.microsoft.com/office/drawing/2014/main" id="{5477FA24-46E3-4A19-8CE0-C93E3C2DE6CF}"/>
            </a:ext>
          </a:extLst>
        </xdr:cNvPr>
        <xdr:cNvPicPr>
          <a:picLocks noChangeAspect="1"/>
        </xdr:cNvPicPr>
      </xdr:nvPicPr>
      <xdr:blipFill>
        <a:blip xmlns:r="http://schemas.openxmlformats.org/officeDocument/2006/relationships" r:embed="rId2"/>
        <a:stretch>
          <a:fillRect/>
        </a:stretch>
      </xdr:blipFill>
      <xdr:spPr>
        <a:xfrm>
          <a:off x="447675" y="228600"/>
          <a:ext cx="1657350" cy="63080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1</xdr:col>
      <xdr:colOff>4762</xdr:colOff>
      <xdr:row>18</xdr:row>
      <xdr:rowOff>209550</xdr:rowOff>
    </xdr:from>
    <xdr:to>
      <xdr:col>8</xdr:col>
      <xdr:colOff>723900</xdr:colOff>
      <xdr:row>33</xdr:row>
      <xdr:rowOff>28575</xdr:rowOff>
    </xdr:to>
    <xdr:graphicFrame macro="">
      <xdr:nvGraphicFramePr>
        <xdr:cNvPr id="3" name="Gràfic 2">
          <a:extLst>
            <a:ext uri="{FF2B5EF4-FFF2-40B4-BE49-F238E27FC236}">
              <a16:creationId xmlns:a16="http://schemas.microsoft.com/office/drawing/2014/main" id="{5833932E-F29D-4E43-9675-F19AC31FD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180975</xdr:colOff>
      <xdr:row>1</xdr:row>
      <xdr:rowOff>85725</xdr:rowOff>
    </xdr:from>
    <xdr:to>
      <xdr:col>1</xdr:col>
      <xdr:colOff>1838325</xdr:colOff>
      <xdr:row>1</xdr:row>
      <xdr:rowOff>716528</xdr:rowOff>
    </xdr:to>
    <xdr:pic>
      <xdr:nvPicPr>
        <xdr:cNvPr id="4" name="Imatge 3">
          <a:extLst>
            <a:ext uri="{FF2B5EF4-FFF2-40B4-BE49-F238E27FC236}">
              <a16:creationId xmlns:a16="http://schemas.microsoft.com/office/drawing/2014/main" id="{74F4891D-D450-4EF6-88C2-EA207011591D}"/>
            </a:ext>
          </a:extLst>
        </xdr:cNvPr>
        <xdr:cNvPicPr>
          <a:picLocks noChangeAspect="1"/>
        </xdr:cNvPicPr>
      </xdr:nvPicPr>
      <xdr:blipFill>
        <a:blip xmlns:r="http://schemas.openxmlformats.org/officeDocument/2006/relationships" r:embed="rId2"/>
        <a:stretch>
          <a:fillRect/>
        </a:stretch>
      </xdr:blipFill>
      <xdr:spPr>
        <a:xfrm>
          <a:off x="276225" y="247650"/>
          <a:ext cx="1657350" cy="63080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142874</xdr:colOff>
      <xdr:row>32</xdr:row>
      <xdr:rowOff>133350</xdr:rowOff>
    </xdr:from>
    <xdr:to>
      <xdr:col>9</xdr:col>
      <xdr:colOff>447674</xdr:colOff>
      <xdr:row>49</xdr:row>
      <xdr:rowOff>95250</xdr:rowOff>
    </xdr:to>
    <xdr:graphicFrame macro="">
      <xdr:nvGraphicFramePr>
        <xdr:cNvPr id="2" name="Gràfic 1">
          <a:extLst>
            <a:ext uri="{FF2B5EF4-FFF2-40B4-BE49-F238E27FC236}">
              <a16:creationId xmlns:a16="http://schemas.microsoft.com/office/drawing/2014/main" id="{F05EDAA1-4C61-868B-5764-3DD1E5E548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142875</xdr:colOff>
      <xdr:row>1</xdr:row>
      <xdr:rowOff>28575</xdr:rowOff>
    </xdr:from>
    <xdr:to>
      <xdr:col>2</xdr:col>
      <xdr:colOff>857250</xdr:colOff>
      <xdr:row>1</xdr:row>
      <xdr:rowOff>659378</xdr:rowOff>
    </xdr:to>
    <xdr:pic>
      <xdr:nvPicPr>
        <xdr:cNvPr id="3" name="Imatge 2">
          <a:extLst>
            <a:ext uri="{FF2B5EF4-FFF2-40B4-BE49-F238E27FC236}">
              <a16:creationId xmlns:a16="http://schemas.microsoft.com/office/drawing/2014/main" id="{676F43F8-8171-4CE5-827D-543C16C15BC9}"/>
            </a:ext>
          </a:extLst>
        </xdr:cNvPr>
        <xdr:cNvPicPr>
          <a:picLocks noChangeAspect="1"/>
        </xdr:cNvPicPr>
      </xdr:nvPicPr>
      <xdr:blipFill>
        <a:blip xmlns:r="http://schemas.openxmlformats.org/officeDocument/2006/relationships" r:embed="rId2"/>
        <a:stretch>
          <a:fillRect/>
        </a:stretch>
      </xdr:blipFill>
      <xdr:spPr>
        <a:xfrm>
          <a:off x="371475" y="228600"/>
          <a:ext cx="1657350" cy="63080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138111</xdr:colOff>
      <xdr:row>31</xdr:row>
      <xdr:rowOff>95249</xdr:rowOff>
    </xdr:from>
    <xdr:to>
      <xdr:col>8</xdr:col>
      <xdr:colOff>314324</xdr:colOff>
      <xdr:row>49</xdr:row>
      <xdr:rowOff>123824</xdr:rowOff>
    </xdr:to>
    <xdr:graphicFrame macro="">
      <xdr:nvGraphicFramePr>
        <xdr:cNvPr id="2" name="Gràfic 1">
          <a:extLst>
            <a:ext uri="{FF2B5EF4-FFF2-40B4-BE49-F238E27FC236}">
              <a16:creationId xmlns:a16="http://schemas.microsoft.com/office/drawing/2014/main" id="{71BD66F5-42DB-0891-470A-D463F441F5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161925</xdr:colOff>
      <xdr:row>1</xdr:row>
      <xdr:rowOff>38100</xdr:rowOff>
    </xdr:from>
    <xdr:to>
      <xdr:col>2</xdr:col>
      <xdr:colOff>876300</xdr:colOff>
      <xdr:row>1</xdr:row>
      <xdr:rowOff>668903</xdr:rowOff>
    </xdr:to>
    <xdr:pic>
      <xdr:nvPicPr>
        <xdr:cNvPr id="3" name="Imatge 2">
          <a:extLst>
            <a:ext uri="{FF2B5EF4-FFF2-40B4-BE49-F238E27FC236}">
              <a16:creationId xmlns:a16="http://schemas.microsoft.com/office/drawing/2014/main" id="{DAC05A75-E995-4922-8E43-A3B234FC98E3}"/>
            </a:ext>
          </a:extLst>
        </xdr:cNvPr>
        <xdr:cNvPicPr>
          <a:picLocks noChangeAspect="1"/>
        </xdr:cNvPicPr>
      </xdr:nvPicPr>
      <xdr:blipFill>
        <a:blip xmlns:r="http://schemas.openxmlformats.org/officeDocument/2006/relationships" r:embed="rId2"/>
        <a:stretch>
          <a:fillRect/>
        </a:stretch>
      </xdr:blipFill>
      <xdr:spPr>
        <a:xfrm>
          <a:off x="390525" y="238125"/>
          <a:ext cx="1657350" cy="6308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14286</xdr:colOff>
      <xdr:row>22</xdr:row>
      <xdr:rowOff>76199</xdr:rowOff>
    </xdr:from>
    <xdr:to>
      <xdr:col>7</xdr:col>
      <xdr:colOff>361949</xdr:colOff>
      <xdr:row>42</xdr:row>
      <xdr:rowOff>123824</xdr:rowOff>
    </xdr:to>
    <xdr:graphicFrame macro="">
      <xdr:nvGraphicFramePr>
        <xdr:cNvPr id="4" name="Gràfic 2">
          <a:extLst>
            <a:ext uri="{FF2B5EF4-FFF2-40B4-BE49-F238E27FC236}">
              <a16:creationId xmlns:a16="http://schemas.microsoft.com/office/drawing/2014/main" id="{00094665-584B-4A2F-8241-7EF4C64F4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85726</xdr:colOff>
      <xdr:row>1</xdr:row>
      <xdr:rowOff>28576</xdr:rowOff>
    </xdr:from>
    <xdr:to>
      <xdr:col>2</xdr:col>
      <xdr:colOff>1381126</xdr:colOff>
      <xdr:row>1</xdr:row>
      <xdr:rowOff>521617</xdr:rowOff>
    </xdr:to>
    <xdr:pic>
      <xdr:nvPicPr>
        <xdr:cNvPr id="3" name="Imatge 2">
          <a:extLst>
            <a:ext uri="{FF2B5EF4-FFF2-40B4-BE49-F238E27FC236}">
              <a16:creationId xmlns:a16="http://schemas.microsoft.com/office/drawing/2014/main" id="{2ADB14A8-A416-4F77-8C59-0E90EE327AF0}"/>
            </a:ext>
          </a:extLst>
        </xdr:cNvPr>
        <xdr:cNvPicPr>
          <a:picLocks noChangeAspect="1"/>
        </xdr:cNvPicPr>
      </xdr:nvPicPr>
      <xdr:blipFill>
        <a:blip xmlns:r="http://schemas.openxmlformats.org/officeDocument/2006/relationships" r:embed="rId2"/>
        <a:stretch>
          <a:fillRect/>
        </a:stretch>
      </xdr:blipFill>
      <xdr:spPr>
        <a:xfrm>
          <a:off x="1304926" y="190501"/>
          <a:ext cx="1295400" cy="4930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11906</xdr:colOff>
      <xdr:row>32</xdr:row>
      <xdr:rowOff>140492</xdr:rowOff>
    </xdr:from>
    <xdr:to>
      <xdr:col>10</xdr:col>
      <xdr:colOff>583406</xdr:colOff>
      <xdr:row>60</xdr:row>
      <xdr:rowOff>142875</xdr:rowOff>
    </xdr:to>
    <xdr:graphicFrame macro="">
      <xdr:nvGraphicFramePr>
        <xdr:cNvPr id="4" name="Gràfic 3">
          <a:extLst>
            <a:ext uri="{FF2B5EF4-FFF2-40B4-BE49-F238E27FC236}">
              <a16:creationId xmlns:a16="http://schemas.microsoft.com/office/drawing/2014/main" id="{72F0C260-AB2D-B9F8-12F2-728CDCB16E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821531</xdr:colOff>
      <xdr:row>1</xdr:row>
      <xdr:rowOff>35719</xdr:rowOff>
    </xdr:from>
    <xdr:to>
      <xdr:col>2</xdr:col>
      <xdr:colOff>1538287</xdr:colOff>
      <xdr:row>1</xdr:row>
      <xdr:rowOff>666522</xdr:rowOff>
    </xdr:to>
    <xdr:pic>
      <xdr:nvPicPr>
        <xdr:cNvPr id="5" name="Imatge 4">
          <a:extLst>
            <a:ext uri="{FF2B5EF4-FFF2-40B4-BE49-F238E27FC236}">
              <a16:creationId xmlns:a16="http://schemas.microsoft.com/office/drawing/2014/main" id="{D338F8EF-70C9-4D90-AC3E-5E38BAEDB904}"/>
            </a:ext>
          </a:extLst>
        </xdr:cNvPr>
        <xdr:cNvPicPr>
          <a:picLocks noChangeAspect="1"/>
        </xdr:cNvPicPr>
      </xdr:nvPicPr>
      <xdr:blipFill>
        <a:blip xmlns:r="http://schemas.openxmlformats.org/officeDocument/2006/relationships" r:embed="rId2"/>
        <a:stretch>
          <a:fillRect/>
        </a:stretch>
      </xdr:blipFill>
      <xdr:spPr>
        <a:xfrm>
          <a:off x="1047750" y="238125"/>
          <a:ext cx="1657350" cy="630803"/>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uab.cat/web/estudiar/graus/sistema-de-garantia-interna-de-qualitat-del-centre/sgiq-de-la-facultat-1345722993885.html" TargetMode="External"/><Relationship Id="rId13" Type="http://schemas.openxmlformats.org/officeDocument/2006/relationships/hyperlink" Target="https://www.uab.cat/web/estudiar/graus/sistema-de-garantia-interna-de-qualitat-del-centre/sgiq-de-la-facultat-1345722993885.html" TargetMode="External"/><Relationship Id="rId18" Type="http://schemas.openxmlformats.org/officeDocument/2006/relationships/printerSettings" Target="../printerSettings/printerSettings1.bin"/><Relationship Id="rId3" Type="http://schemas.openxmlformats.org/officeDocument/2006/relationships/hyperlink" Target="https://www.uab.cat/web/estudiar/graus/sistema-de-garantia-interna-de-qualitat-del-centre/sgiq-de-la-facultat-1345722993885.html" TargetMode="External"/><Relationship Id="rId7" Type="http://schemas.openxmlformats.org/officeDocument/2006/relationships/hyperlink" Target="https://www.uab.cat/web/estudiar/graus/sistema-de-garantia-interna-de-qualitat-del-centre/sgiq-de-la-facultat-1345722993885.html" TargetMode="External"/><Relationship Id="rId12" Type="http://schemas.openxmlformats.org/officeDocument/2006/relationships/hyperlink" Target="https://www.uab.cat/web/estudiar/graus/sistema-de-garantia-interna-de-qualitat-del-centre/sgiq-de-la-facultat-1345722993885.html" TargetMode="External"/><Relationship Id="rId17" Type="http://schemas.openxmlformats.org/officeDocument/2006/relationships/hyperlink" Target="https://www.uab.cat/web/estudiar/graus/sistema-de-garantia-interna-de-qualitat-del-centre/sgiq-de-la-facultat-1345722993885.html" TargetMode="External"/><Relationship Id="rId2" Type="http://schemas.openxmlformats.org/officeDocument/2006/relationships/hyperlink" Target="https://www.uab.cat/web/estudiar/graus/sistema-de-garantia-interna-de-qualitat-del-centre/sgiq-de-la-facultat-1345722993885.html" TargetMode="External"/><Relationship Id="rId16" Type="http://schemas.openxmlformats.org/officeDocument/2006/relationships/hyperlink" Target="https://www.uab.cat/web/estudiar/graus/sistema-de-garantia-interna-de-qualitat-del-centre/sgiq-de-la-facultat-1345722993885.html" TargetMode="External"/><Relationship Id="rId1" Type="http://schemas.openxmlformats.org/officeDocument/2006/relationships/hyperlink" Target="https://www.uab.cat/web/estudiar/graus/sistema-de-garantia-interna-de-qualitat-del-centre/sgiq-de-la-facultat-1345722993885.html" TargetMode="External"/><Relationship Id="rId6" Type="http://schemas.openxmlformats.org/officeDocument/2006/relationships/hyperlink" Target="https://www.uab.cat/web/estudiar/graus/sistema-de-garantia-interna-de-qualitat-del-centre/sgiq-de-la-facultat-1345722993885.html" TargetMode="External"/><Relationship Id="rId11" Type="http://schemas.openxmlformats.org/officeDocument/2006/relationships/hyperlink" Target="https://www.uab.cat/web/estudiar/graus/sistema-de-garantia-interna-de-qualitat-del-centre/sgiq-de-la-facultat-1345722993885.html" TargetMode="External"/><Relationship Id="rId5" Type="http://schemas.openxmlformats.org/officeDocument/2006/relationships/hyperlink" Target="https://www.uab.cat/web/estudiar/graus/sistema-de-garantia-interna-de-qualitat-del-centre/sgiq-de-la-facultat-1345722993885.html" TargetMode="External"/><Relationship Id="rId15" Type="http://schemas.openxmlformats.org/officeDocument/2006/relationships/hyperlink" Target="https://www.uab.cat/web/estudiar/graus/sistema-de-garantia-interna-de-qualitat-del-centre/sgiq-de-la-facultat-1345722993885.html" TargetMode="External"/><Relationship Id="rId10" Type="http://schemas.openxmlformats.org/officeDocument/2006/relationships/hyperlink" Target="https://www.uab.cat/web/estudiar/graus/sistema-de-garantia-interna-de-qualitat-del-centre/sgiq-de-la-facultat-1345722993885.html" TargetMode="External"/><Relationship Id="rId19" Type="http://schemas.openxmlformats.org/officeDocument/2006/relationships/drawing" Target="../drawings/drawing1.xml"/><Relationship Id="rId4" Type="http://schemas.openxmlformats.org/officeDocument/2006/relationships/hyperlink" Target="https://www.uab.cat/web/estudiar/graus/sistema-de-garantia-interna-de-qualitat-del-centre/sgiq-de-la-facultat-1345722993885.html" TargetMode="External"/><Relationship Id="rId9" Type="http://schemas.openxmlformats.org/officeDocument/2006/relationships/hyperlink" Target="https://www.uab.cat/web/estudiar/graus/sistema-de-garantia-interna-de-qualitat-del-centre/sgiq-de-la-facultat-1345722993885.html" TargetMode="External"/><Relationship Id="rId14" Type="http://schemas.openxmlformats.org/officeDocument/2006/relationships/hyperlink" Target="https://www.uab.cat/web/estudiar/graus/sistema-de-garantia-interna-de-qualitat-del-centre/sgiq-de-la-facultat-1345722993885.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6.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00"/>
    <outlinePr summaryBelow="0" summaryRight="0"/>
    <pageSetUpPr fitToPage="1"/>
  </sheetPr>
  <dimension ref="A2:I84"/>
  <sheetViews>
    <sheetView showGridLines="0" zoomScaleNormal="100" workbookViewId="0">
      <pane ySplit="6" topLeftCell="A7" activePane="bottomLeft" state="frozen"/>
      <selection pane="bottomLeft" activeCell="C7" sqref="C7"/>
    </sheetView>
  </sheetViews>
  <sheetFormatPr defaultColWidth="12.5703125" defaultRowHeight="15.75" customHeight="1" x14ac:dyDescent="0.25"/>
  <cols>
    <col min="1" max="1" width="1.42578125" style="38" customWidth="1"/>
    <col min="2" max="2" width="20.140625" style="71" customWidth="1"/>
    <col min="3" max="3" width="41.7109375" style="71" customWidth="1"/>
    <col min="4" max="4" width="28.28515625" style="76" customWidth="1"/>
    <col min="5" max="5" width="23.140625" style="76" customWidth="1"/>
    <col min="6" max="6" width="17.28515625" style="76" customWidth="1"/>
    <col min="7" max="7" width="35.5703125" style="61" customWidth="1"/>
    <col min="8" max="8" width="28.85546875" style="38" bestFit="1" customWidth="1"/>
    <col min="9" max="16384" width="12.5703125" style="38"/>
  </cols>
  <sheetData>
    <row r="2" spans="1:8" ht="22.5" customHeight="1" x14ac:dyDescent="0.2">
      <c r="A2" s="1"/>
      <c r="B2" s="553"/>
      <c r="C2" s="554"/>
      <c r="D2" s="551" t="s">
        <v>0</v>
      </c>
      <c r="E2" s="552"/>
      <c r="F2" s="552"/>
      <c r="G2" s="552"/>
      <c r="H2" s="222"/>
    </row>
    <row r="3" spans="1:8" ht="22.5" customHeight="1" x14ac:dyDescent="0.2">
      <c r="A3" s="1"/>
      <c r="B3" s="555"/>
      <c r="C3" s="556"/>
      <c r="D3" s="551"/>
      <c r="E3" s="552"/>
      <c r="F3" s="552"/>
      <c r="G3" s="552"/>
      <c r="H3" s="222"/>
    </row>
    <row r="4" spans="1:8" ht="22.5" customHeight="1" x14ac:dyDescent="0.2">
      <c r="A4" s="1"/>
      <c r="B4" s="557"/>
      <c r="C4" s="558"/>
      <c r="D4" s="551"/>
      <c r="E4" s="552"/>
      <c r="F4" s="552"/>
      <c r="G4" s="552"/>
      <c r="H4" s="222"/>
    </row>
    <row r="5" spans="1:8" ht="7.5" customHeight="1" x14ac:dyDescent="0.2">
      <c r="A5" s="1"/>
      <c r="B5" s="60"/>
      <c r="C5" s="60"/>
      <c r="D5" s="60"/>
      <c r="E5" s="72"/>
      <c r="F5" s="72"/>
      <c r="G5" s="60"/>
      <c r="H5" s="222"/>
    </row>
    <row r="6" spans="1:8" s="483" customFormat="1" ht="42.6" customHeight="1" x14ac:dyDescent="0.3">
      <c r="A6" s="73"/>
      <c r="B6" s="70" t="s">
        <v>1</v>
      </c>
      <c r="C6" s="70" t="s">
        <v>2</v>
      </c>
      <c r="D6" s="69" t="s">
        <v>3</v>
      </c>
      <c r="E6" s="69" t="s">
        <v>4</v>
      </c>
      <c r="F6" s="69" t="s">
        <v>5</v>
      </c>
      <c r="G6" s="75" t="s">
        <v>6</v>
      </c>
      <c r="H6" s="283" t="s">
        <v>7</v>
      </c>
    </row>
    <row r="7" spans="1:8" s="484" customFormat="1" ht="41.45" customHeight="1" x14ac:dyDescent="0.2">
      <c r="A7" s="206"/>
      <c r="B7" s="245" t="s">
        <v>8</v>
      </c>
      <c r="C7" s="299" t="s">
        <v>599</v>
      </c>
      <c r="D7" s="24" t="s">
        <v>9</v>
      </c>
      <c r="E7" s="24" t="s">
        <v>10</v>
      </c>
      <c r="F7" s="49">
        <v>0.8</v>
      </c>
      <c r="G7" s="207" t="s">
        <v>11</v>
      </c>
      <c r="H7" s="279" t="s">
        <v>458</v>
      </c>
    </row>
    <row r="8" spans="1:8" s="485" customFormat="1" ht="27" x14ac:dyDescent="0.2">
      <c r="A8" s="208"/>
      <c r="B8" s="243" t="s">
        <v>12</v>
      </c>
      <c r="C8" s="207" t="s">
        <v>13</v>
      </c>
      <c r="D8" s="24" t="s">
        <v>9</v>
      </c>
      <c r="E8" s="24" t="s">
        <v>10</v>
      </c>
      <c r="F8" s="49">
        <v>0.8</v>
      </c>
      <c r="G8" s="207" t="s">
        <v>11</v>
      </c>
      <c r="H8" s="279" t="s">
        <v>459</v>
      </c>
    </row>
    <row r="9" spans="1:8" s="485" customFormat="1" ht="54" x14ac:dyDescent="0.2">
      <c r="A9" s="208"/>
      <c r="B9" s="209" t="s">
        <v>14</v>
      </c>
      <c r="C9" s="217" t="s">
        <v>15</v>
      </c>
      <c r="D9" s="24" t="s">
        <v>9</v>
      </c>
      <c r="E9" s="24" t="s">
        <v>10</v>
      </c>
      <c r="F9" s="24" t="s">
        <v>16</v>
      </c>
      <c r="G9" s="207" t="s">
        <v>11</v>
      </c>
      <c r="H9" s="279" t="s">
        <v>17</v>
      </c>
    </row>
    <row r="10" spans="1:8" s="485" customFormat="1" ht="40.5" x14ac:dyDescent="0.25">
      <c r="A10" s="208"/>
      <c r="B10" s="209" t="s">
        <v>18</v>
      </c>
      <c r="C10" s="216" t="s">
        <v>19</v>
      </c>
      <c r="D10" s="24" t="s">
        <v>9</v>
      </c>
      <c r="E10" s="24" t="s">
        <v>10</v>
      </c>
      <c r="F10" s="49">
        <v>0.9</v>
      </c>
      <c r="G10" s="207" t="s">
        <v>11</v>
      </c>
      <c r="H10" s="279" t="s">
        <v>17</v>
      </c>
    </row>
    <row r="11" spans="1:8" s="486" customFormat="1" ht="63" customHeight="1" x14ac:dyDescent="0.2">
      <c r="A11" s="210"/>
      <c r="B11" s="243" t="s">
        <v>20</v>
      </c>
      <c r="C11" s="207" t="s">
        <v>21</v>
      </c>
      <c r="D11" s="24" t="s">
        <v>22</v>
      </c>
      <c r="E11" s="24" t="s">
        <v>10</v>
      </c>
      <c r="F11" s="49">
        <v>0.9</v>
      </c>
      <c r="G11" s="207" t="s">
        <v>23</v>
      </c>
      <c r="H11" s="279" t="s">
        <v>459</v>
      </c>
    </row>
    <row r="12" spans="1:8" s="486" customFormat="1" ht="62.25" customHeight="1" x14ac:dyDescent="0.2">
      <c r="A12" s="210"/>
      <c r="B12" s="209" t="s">
        <v>24</v>
      </c>
      <c r="C12" s="207" t="s">
        <v>25</v>
      </c>
      <c r="D12" s="24" t="s">
        <v>22</v>
      </c>
      <c r="E12" s="24" t="s">
        <v>10</v>
      </c>
      <c r="F12" s="24" t="s">
        <v>26</v>
      </c>
      <c r="G12" s="207" t="s">
        <v>23</v>
      </c>
      <c r="H12" s="279" t="s">
        <v>458</v>
      </c>
    </row>
    <row r="13" spans="1:8" s="486" customFormat="1" ht="65.25" customHeight="1" x14ac:dyDescent="0.25">
      <c r="A13" s="210"/>
      <c r="B13" s="209" t="s">
        <v>27</v>
      </c>
      <c r="C13" s="280" t="s">
        <v>28</v>
      </c>
      <c r="D13" s="24" t="s">
        <v>22</v>
      </c>
      <c r="E13" s="24" t="s">
        <v>132</v>
      </c>
      <c r="F13" s="24" t="s">
        <v>26</v>
      </c>
      <c r="G13" s="207" t="s">
        <v>23</v>
      </c>
      <c r="H13" s="279" t="s">
        <v>455</v>
      </c>
    </row>
    <row r="14" spans="1:8" s="487" customFormat="1" ht="44.25" customHeight="1" x14ac:dyDescent="0.3">
      <c r="A14" s="211"/>
      <c r="B14" s="243" t="s">
        <v>29</v>
      </c>
      <c r="C14" s="207" t="s">
        <v>30</v>
      </c>
      <c r="D14" s="212" t="s">
        <v>31</v>
      </c>
      <c r="E14" s="24" t="s">
        <v>10</v>
      </c>
      <c r="F14" s="24" t="s">
        <v>32</v>
      </c>
      <c r="G14" s="207" t="s">
        <v>33</v>
      </c>
      <c r="H14" s="279" t="s">
        <v>456</v>
      </c>
    </row>
    <row r="15" spans="1:8" s="487" customFormat="1" ht="39.6" customHeight="1" x14ac:dyDescent="0.3">
      <c r="A15" s="211"/>
      <c r="B15" s="243" t="s">
        <v>34</v>
      </c>
      <c r="C15" s="213" t="s">
        <v>590</v>
      </c>
      <c r="D15" s="212" t="s">
        <v>31</v>
      </c>
      <c r="E15" s="24" t="s">
        <v>10</v>
      </c>
      <c r="F15" s="24" t="s">
        <v>35</v>
      </c>
      <c r="G15" s="207" t="s">
        <v>33</v>
      </c>
      <c r="H15" s="279" t="s">
        <v>456</v>
      </c>
    </row>
    <row r="16" spans="1:8" s="487" customFormat="1" ht="56.25" customHeight="1" x14ac:dyDescent="0.3">
      <c r="A16" s="211"/>
      <c r="B16" s="243" t="s">
        <v>36</v>
      </c>
      <c r="C16" s="213" t="s">
        <v>600</v>
      </c>
      <c r="D16" s="212" t="s">
        <v>31</v>
      </c>
      <c r="E16" s="24" t="s">
        <v>10</v>
      </c>
      <c r="F16" s="24" t="s">
        <v>37</v>
      </c>
      <c r="G16" s="207" t="s">
        <v>33</v>
      </c>
      <c r="H16" s="279" t="s">
        <v>457</v>
      </c>
    </row>
    <row r="17" spans="1:8" s="487" customFormat="1" ht="41.45" customHeight="1" x14ac:dyDescent="0.3">
      <c r="A17" s="211"/>
      <c r="B17" s="243" t="s">
        <v>38</v>
      </c>
      <c r="C17" s="213" t="s">
        <v>39</v>
      </c>
      <c r="D17" s="212" t="s">
        <v>31</v>
      </c>
      <c r="E17" s="24" t="s">
        <v>10</v>
      </c>
      <c r="F17" s="24" t="s">
        <v>40</v>
      </c>
      <c r="G17" s="207" t="s">
        <v>33</v>
      </c>
      <c r="H17" s="279" t="s">
        <v>457</v>
      </c>
    </row>
    <row r="18" spans="1:8" s="487" customFormat="1" ht="59.25" customHeight="1" x14ac:dyDescent="0.3">
      <c r="A18" s="211"/>
      <c r="B18" s="243" t="s">
        <v>41</v>
      </c>
      <c r="C18" s="213" t="s">
        <v>42</v>
      </c>
      <c r="D18" s="212" t="s">
        <v>31</v>
      </c>
      <c r="E18" s="24" t="s">
        <v>10</v>
      </c>
      <c r="F18" s="24" t="s">
        <v>43</v>
      </c>
      <c r="G18" s="207" t="s">
        <v>33</v>
      </c>
      <c r="H18" s="279" t="s">
        <v>457</v>
      </c>
    </row>
    <row r="19" spans="1:8" s="487" customFormat="1" ht="41.45" customHeight="1" x14ac:dyDescent="0.3">
      <c r="A19" s="211"/>
      <c r="B19" s="243" t="s">
        <v>44</v>
      </c>
      <c r="C19" s="216" t="s">
        <v>45</v>
      </c>
      <c r="D19" s="212" t="s">
        <v>31</v>
      </c>
      <c r="E19" s="24" t="s">
        <v>448</v>
      </c>
      <c r="F19" s="24" t="s">
        <v>43</v>
      </c>
      <c r="G19" s="207" t="s">
        <v>33</v>
      </c>
      <c r="H19" s="279" t="s">
        <v>457</v>
      </c>
    </row>
    <row r="20" spans="1:8" s="487" customFormat="1" ht="41.45" customHeight="1" x14ac:dyDescent="0.3">
      <c r="A20" s="211"/>
      <c r="B20" s="243" t="s">
        <v>46</v>
      </c>
      <c r="C20" s="277" t="s">
        <v>47</v>
      </c>
      <c r="D20" s="212" t="s">
        <v>31</v>
      </c>
      <c r="E20" s="24" t="s">
        <v>10</v>
      </c>
      <c r="F20" s="24" t="s">
        <v>48</v>
      </c>
      <c r="G20" s="207" t="s">
        <v>33</v>
      </c>
      <c r="H20" s="279" t="s">
        <v>457</v>
      </c>
    </row>
    <row r="21" spans="1:8" s="486" customFormat="1" ht="37.5" customHeight="1" x14ac:dyDescent="0.2">
      <c r="A21" s="210"/>
      <c r="B21" s="243" t="s">
        <v>49</v>
      </c>
      <c r="C21" s="207" t="s">
        <v>50</v>
      </c>
      <c r="D21" s="24" t="s">
        <v>22</v>
      </c>
      <c r="E21" s="24" t="s">
        <v>449</v>
      </c>
      <c r="F21" s="49">
        <v>1</v>
      </c>
      <c r="G21" s="207" t="s">
        <v>51</v>
      </c>
      <c r="H21" s="279" t="s">
        <v>457</v>
      </c>
    </row>
    <row r="22" spans="1:8" s="486" customFormat="1" ht="48.6" customHeight="1" x14ac:dyDescent="0.2">
      <c r="A22" s="210"/>
      <c r="B22" s="243" t="s">
        <v>52</v>
      </c>
      <c r="C22" s="207" t="s">
        <v>53</v>
      </c>
      <c r="D22" s="24" t="s">
        <v>22</v>
      </c>
      <c r="E22" s="24" t="s">
        <v>10</v>
      </c>
      <c r="F22" s="49" t="s">
        <v>40</v>
      </c>
      <c r="G22" s="207" t="s">
        <v>51</v>
      </c>
      <c r="H22" s="279" t="s">
        <v>455</v>
      </c>
    </row>
    <row r="23" spans="1:8" s="486" customFormat="1" ht="72" customHeight="1" x14ac:dyDescent="0.2">
      <c r="A23" s="210"/>
      <c r="B23" s="243" t="s">
        <v>54</v>
      </c>
      <c r="C23" s="207" t="s">
        <v>55</v>
      </c>
      <c r="D23" s="24" t="s">
        <v>22</v>
      </c>
      <c r="E23" s="24" t="s">
        <v>10</v>
      </c>
      <c r="F23" s="49" t="s">
        <v>56</v>
      </c>
      <c r="G23" s="207" t="s">
        <v>57</v>
      </c>
      <c r="H23" s="279" t="s">
        <v>454</v>
      </c>
    </row>
    <row r="24" spans="1:8" s="486" customFormat="1" ht="54" x14ac:dyDescent="0.2">
      <c r="A24" s="210"/>
      <c r="B24" s="243" t="s">
        <v>58</v>
      </c>
      <c r="C24" s="207" t="s">
        <v>59</v>
      </c>
      <c r="D24" s="24" t="s">
        <v>22</v>
      </c>
      <c r="E24" s="24" t="s">
        <v>10</v>
      </c>
      <c r="F24" s="49" t="s">
        <v>56</v>
      </c>
      <c r="G24" s="207" t="s">
        <v>51</v>
      </c>
      <c r="H24" s="279" t="s">
        <v>454</v>
      </c>
    </row>
    <row r="25" spans="1:8" s="486" customFormat="1" ht="40.5" x14ac:dyDescent="0.2">
      <c r="A25" s="210"/>
      <c r="B25" s="209" t="s">
        <v>60</v>
      </c>
      <c r="C25" s="217" t="s">
        <v>61</v>
      </c>
      <c r="D25" s="24" t="s">
        <v>22</v>
      </c>
      <c r="E25" s="24" t="s">
        <v>449</v>
      </c>
      <c r="F25" s="49" t="s">
        <v>591</v>
      </c>
      <c r="G25" s="207" t="s">
        <v>51</v>
      </c>
      <c r="H25" s="279" t="s">
        <v>17</v>
      </c>
    </row>
    <row r="26" spans="1:8" s="486" customFormat="1" ht="54" x14ac:dyDescent="0.2">
      <c r="A26" s="210"/>
      <c r="B26" s="243" t="s">
        <v>62</v>
      </c>
      <c r="C26" s="207" t="s">
        <v>63</v>
      </c>
      <c r="D26" s="24" t="s">
        <v>22</v>
      </c>
      <c r="E26" s="24" t="s">
        <v>10</v>
      </c>
      <c r="F26" s="24" t="s">
        <v>64</v>
      </c>
      <c r="G26" s="207" t="s">
        <v>57</v>
      </c>
      <c r="H26" s="279" t="s">
        <v>454</v>
      </c>
    </row>
    <row r="27" spans="1:8" s="486" customFormat="1" ht="54" x14ac:dyDescent="0.3">
      <c r="A27" s="210"/>
      <c r="B27" s="243" t="s">
        <v>65</v>
      </c>
      <c r="C27" s="207" t="s">
        <v>450</v>
      </c>
      <c r="D27" s="212" t="s">
        <v>31</v>
      </c>
      <c r="E27" s="24" t="s">
        <v>66</v>
      </c>
      <c r="F27" s="24">
        <v>10</v>
      </c>
      <c r="G27" s="224" t="s">
        <v>67</v>
      </c>
      <c r="H27" s="279" t="s">
        <v>457</v>
      </c>
    </row>
    <row r="28" spans="1:8" s="486" customFormat="1" ht="40.5" x14ac:dyDescent="0.3">
      <c r="A28" s="210"/>
      <c r="B28" s="243" t="s">
        <v>68</v>
      </c>
      <c r="C28" s="207" t="s">
        <v>69</v>
      </c>
      <c r="D28" s="212" t="s">
        <v>31</v>
      </c>
      <c r="E28" s="24" t="s">
        <v>10</v>
      </c>
      <c r="F28" s="24" t="s">
        <v>56</v>
      </c>
      <c r="G28" s="224" t="s">
        <v>67</v>
      </c>
      <c r="H28" s="279" t="s">
        <v>454</v>
      </c>
    </row>
    <row r="29" spans="1:8" s="486" customFormat="1" ht="30" customHeight="1" x14ac:dyDescent="0.2">
      <c r="A29" s="210"/>
      <c r="B29" s="243" t="s">
        <v>70</v>
      </c>
      <c r="C29" s="207" t="s">
        <v>71</v>
      </c>
      <c r="D29" s="24" t="s">
        <v>31</v>
      </c>
      <c r="E29" s="24" t="s">
        <v>10</v>
      </c>
      <c r="F29" s="49" t="s">
        <v>72</v>
      </c>
      <c r="G29" s="224" t="s">
        <v>73</v>
      </c>
      <c r="H29" s="279" t="s">
        <v>457</v>
      </c>
    </row>
    <row r="30" spans="1:8" s="486" customFormat="1" ht="30" customHeight="1" x14ac:dyDescent="0.3">
      <c r="A30" s="210"/>
      <c r="B30" s="243" t="s">
        <v>74</v>
      </c>
      <c r="C30" s="207" t="s">
        <v>75</v>
      </c>
      <c r="D30" s="212" t="s">
        <v>31</v>
      </c>
      <c r="E30" s="24" t="s">
        <v>10</v>
      </c>
      <c r="F30" s="24" t="s">
        <v>76</v>
      </c>
      <c r="G30" s="224" t="s">
        <v>73</v>
      </c>
      <c r="H30" s="279" t="s">
        <v>457</v>
      </c>
    </row>
    <row r="31" spans="1:8" s="486" customFormat="1" ht="30" customHeight="1" x14ac:dyDescent="0.3">
      <c r="A31" s="210"/>
      <c r="B31" s="243" t="s">
        <v>77</v>
      </c>
      <c r="C31" s="207" t="s">
        <v>78</v>
      </c>
      <c r="D31" s="212" t="s">
        <v>31</v>
      </c>
      <c r="E31" s="24" t="s">
        <v>10</v>
      </c>
      <c r="F31" s="49">
        <v>0.75</v>
      </c>
      <c r="G31" s="224" t="s">
        <v>73</v>
      </c>
      <c r="H31" s="279" t="s">
        <v>457</v>
      </c>
    </row>
    <row r="32" spans="1:8" s="486" customFormat="1" ht="41.25" x14ac:dyDescent="0.3">
      <c r="A32" s="210"/>
      <c r="B32" s="243" t="s">
        <v>79</v>
      </c>
      <c r="C32" s="281" t="s">
        <v>593</v>
      </c>
      <c r="D32" s="212" t="s">
        <v>31</v>
      </c>
      <c r="E32" s="24" t="s">
        <v>10</v>
      </c>
      <c r="F32" s="49" t="s">
        <v>80</v>
      </c>
      <c r="G32" s="224" t="s">
        <v>73</v>
      </c>
      <c r="H32" s="279" t="s">
        <v>454</v>
      </c>
    </row>
    <row r="33" spans="1:8" s="486" customFormat="1" ht="54" x14ac:dyDescent="0.2">
      <c r="A33" s="210"/>
      <c r="B33" s="243" t="s">
        <v>81</v>
      </c>
      <c r="C33" s="207" t="s">
        <v>451</v>
      </c>
      <c r="D33" s="24" t="s">
        <v>22</v>
      </c>
      <c r="E33" s="24" t="s">
        <v>10</v>
      </c>
      <c r="F33" s="49">
        <v>1</v>
      </c>
      <c r="G33" s="224" t="s">
        <v>82</v>
      </c>
      <c r="H33" s="279" t="s">
        <v>457</v>
      </c>
    </row>
    <row r="34" spans="1:8" s="486" customFormat="1" ht="27" x14ac:dyDescent="0.2">
      <c r="A34" s="210"/>
      <c r="B34" s="243" t="s">
        <v>83</v>
      </c>
      <c r="C34" s="207" t="s">
        <v>84</v>
      </c>
      <c r="D34" s="24" t="s">
        <v>22</v>
      </c>
      <c r="E34" s="24" t="s">
        <v>85</v>
      </c>
      <c r="F34" s="24">
        <v>0.8</v>
      </c>
      <c r="G34" s="207" t="s">
        <v>86</v>
      </c>
      <c r="H34" s="279" t="s">
        <v>457</v>
      </c>
    </row>
    <row r="35" spans="1:8" s="486" customFormat="1" ht="27" x14ac:dyDescent="0.2">
      <c r="A35" s="210"/>
      <c r="B35" s="243" t="s">
        <v>87</v>
      </c>
      <c r="C35" s="207" t="s">
        <v>88</v>
      </c>
      <c r="D35" s="24" t="s">
        <v>22</v>
      </c>
      <c r="E35" s="24" t="s">
        <v>85</v>
      </c>
      <c r="F35" s="24" t="s">
        <v>89</v>
      </c>
      <c r="G35" s="207" t="s">
        <v>86</v>
      </c>
      <c r="H35" s="279" t="s">
        <v>457</v>
      </c>
    </row>
    <row r="36" spans="1:8" s="486" customFormat="1" ht="27" x14ac:dyDescent="0.2">
      <c r="A36" s="210"/>
      <c r="B36" s="243" t="s">
        <v>90</v>
      </c>
      <c r="C36" s="207" t="s">
        <v>91</v>
      </c>
      <c r="D36" s="24" t="s">
        <v>22</v>
      </c>
      <c r="E36" s="24" t="s">
        <v>85</v>
      </c>
      <c r="F36" s="49">
        <v>0.2</v>
      </c>
      <c r="G36" s="207" t="s">
        <v>86</v>
      </c>
      <c r="H36" s="279" t="s">
        <v>457</v>
      </c>
    </row>
    <row r="37" spans="1:8" s="486" customFormat="1" ht="27" x14ac:dyDescent="0.2">
      <c r="A37" s="210"/>
      <c r="B37" s="243" t="s">
        <v>92</v>
      </c>
      <c r="C37" s="207" t="s">
        <v>93</v>
      </c>
      <c r="D37" s="24" t="s">
        <v>22</v>
      </c>
      <c r="E37" s="24" t="s">
        <v>85</v>
      </c>
      <c r="F37" s="49">
        <v>0.7</v>
      </c>
      <c r="G37" s="207" t="s">
        <v>86</v>
      </c>
      <c r="H37" s="279" t="s">
        <v>457</v>
      </c>
    </row>
    <row r="38" spans="1:8" s="486" customFormat="1" ht="52.5" customHeight="1" x14ac:dyDescent="0.2">
      <c r="A38" s="214"/>
      <c r="B38" s="243" t="s">
        <v>94</v>
      </c>
      <c r="C38" s="207" t="s">
        <v>95</v>
      </c>
      <c r="D38" s="24" t="s">
        <v>96</v>
      </c>
      <c r="E38" s="24" t="s">
        <v>10</v>
      </c>
      <c r="F38" s="24" t="s">
        <v>56</v>
      </c>
      <c r="G38" s="225" t="s">
        <v>97</v>
      </c>
      <c r="H38" s="279" t="s">
        <v>454</v>
      </c>
    </row>
    <row r="39" spans="1:8" ht="41.25" customHeight="1" x14ac:dyDescent="0.2">
      <c r="A39" s="215"/>
      <c r="B39" s="243" t="s">
        <v>98</v>
      </c>
      <c r="C39" s="207" t="s">
        <v>99</v>
      </c>
      <c r="D39" s="24" t="s">
        <v>100</v>
      </c>
      <c r="E39" s="24" t="s">
        <v>101</v>
      </c>
      <c r="F39" s="24">
        <v>100</v>
      </c>
      <c r="G39" s="225" t="s">
        <v>102</v>
      </c>
      <c r="H39" s="279" t="s">
        <v>457</v>
      </c>
    </row>
    <row r="40" spans="1:8" s="486" customFormat="1" ht="51.75" customHeight="1" x14ac:dyDescent="0.2">
      <c r="A40" s="214"/>
      <c r="B40" s="243" t="s">
        <v>103</v>
      </c>
      <c r="C40" s="207" t="s">
        <v>104</v>
      </c>
      <c r="D40" s="24" t="s">
        <v>100</v>
      </c>
      <c r="E40" s="24" t="s">
        <v>10</v>
      </c>
      <c r="F40" s="24" t="s">
        <v>56</v>
      </c>
      <c r="G40" s="225" t="s">
        <v>102</v>
      </c>
      <c r="H40" s="279" t="s">
        <v>454</v>
      </c>
    </row>
    <row r="41" spans="1:8" s="486" customFormat="1" ht="51.75" customHeight="1" x14ac:dyDescent="0.2">
      <c r="A41" s="214"/>
      <c r="B41" s="244" t="s">
        <v>105</v>
      </c>
      <c r="C41" s="138" t="s">
        <v>106</v>
      </c>
      <c r="D41" s="24" t="s">
        <v>100</v>
      </c>
      <c r="E41" s="24" t="s">
        <v>10</v>
      </c>
      <c r="F41" s="49" t="s">
        <v>48</v>
      </c>
      <c r="G41" s="225" t="s">
        <v>102</v>
      </c>
      <c r="H41" s="279" t="s">
        <v>457</v>
      </c>
    </row>
    <row r="42" spans="1:8" s="486" customFormat="1" ht="51.75" customHeight="1" x14ac:dyDescent="0.2">
      <c r="A42" s="214"/>
      <c r="B42" s="284" t="s">
        <v>107</v>
      </c>
      <c r="C42" s="138" t="s">
        <v>108</v>
      </c>
      <c r="D42" s="24" t="s">
        <v>100</v>
      </c>
      <c r="E42" s="24" t="s">
        <v>10</v>
      </c>
      <c r="F42" s="383" t="s">
        <v>601</v>
      </c>
      <c r="G42" s="225" t="s">
        <v>102</v>
      </c>
      <c r="H42" s="279" t="s">
        <v>457</v>
      </c>
    </row>
    <row r="43" spans="1:8" s="486" customFormat="1" ht="51.75" customHeight="1" x14ac:dyDescent="0.2">
      <c r="A43" s="214"/>
      <c r="B43" s="284" t="s">
        <v>109</v>
      </c>
      <c r="C43" s="138" t="s">
        <v>110</v>
      </c>
      <c r="D43" s="24" t="s">
        <v>100</v>
      </c>
      <c r="E43" s="24" t="s">
        <v>10</v>
      </c>
      <c r="F43" s="383" t="s">
        <v>602</v>
      </c>
      <c r="G43" s="225" t="s">
        <v>102</v>
      </c>
      <c r="H43" s="279" t="s">
        <v>457</v>
      </c>
    </row>
    <row r="44" spans="1:8" s="486" customFormat="1" ht="30" customHeight="1" x14ac:dyDescent="0.2">
      <c r="A44" s="214"/>
      <c r="B44" s="243" t="s">
        <v>111</v>
      </c>
      <c r="C44" s="207" t="s">
        <v>112</v>
      </c>
      <c r="D44" s="24" t="s">
        <v>22</v>
      </c>
      <c r="E44" s="24" t="s">
        <v>10</v>
      </c>
      <c r="F44" s="24" t="s">
        <v>113</v>
      </c>
      <c r="G44" s="225" t="s">
        <v>114</v>
      </c>
      <c r="H44" s="279" t="s">
        <v>457</v>
      </c>
    </row>
    <row r="45" spans="1:8" s="486" customFormat="1" ht="67.5" x14ac:dyDescent="0.2">
      <c r="A45" s="214"/>
      <c r="B45" s="243" t="s">
        <v>115</v>
      </c>
      <c r="C45" s="207" t="s">
        <v>603</v>
      </c>
      <c r="D45" s="24" t="s">
        <v>22</v>
      </c>
      <c r="E45" s="24" t="s">
        <v>10</v>
      </c>
      <c r="F45" s="24" t="s">
        <v>116</v>
      </c>
      <c r="G45" s="225" t="s">
        <v>114</v>
      </c>
      <c r="H45" s="279" t="s">
        <v>454</v>
      </c>
    </row>
    <row r="46" spans="1:8" s="486" customFormat="1" ht="81" x14ac:dyDescent="0.2">
      <c r="A46" s="214"/>
      <c r="B46" s="243" t="s">
        <v>117</v>
      </c>
      <c r="C46" s="207" t="s">
        <v>118</v>
      </c>
      <c r="D46" s="24" t="s">
        <v>22</v>
      </c>
      <c r="E46" s="24" t="s">
        <v>10</v>
      </c>
      <c r="F46" s="24" t="s">
        <v>119</v>
      </c>
      <c r="G46" s="225" t="s">
        <v>114</v>
      </c>
      <c r="H46" s="279" t="s">
        <v>454</v>
      </c>
    </row>
    <row r="47" spans="1:8" s="486" customFormat="1" ht="27" x14ac:dyDescent="0.25">
      <c r="A47" s="214"/>
      <c r="B47" s="209" t="s">
        <v>120</v>
      </c>
      <c r="C47" s="216" t="s">
        <v>121</v>
      </c>
      <c r="D47" s="24" t="s">
        <v>122</v>
      </c>
      <c r="E47" s="138" t="s">
        <v>123</v>
      </c>
      <c r="F47" s="24" t="s">
        <v>124</v>
      </c>
      <c r="G47" s="225" t="s">
        <v>125</v>
      </c>
      <c r="H47" s="279" t="s">
        <v>457</v>
      </c>
    </row>
    <row r="48" spans="1:8" s="486" customFormat="1" ht="40.5" x14ac:dyDescent="0.2">
      <c r="A48" s="214"/>
      <c r="B48" s="243" t="s">
        <v>126</v>
      </c>
      <c r="C48" s="217" t="s">
        <v>604</v>
      </c>
      <c r="D48" s="24" t="s">
        <v>122</v>
      </c>
      <c r="E48" s="138" t="s">
        <v>123</v>
      </c>
      <c r="F48" s="24">
        <v>1</v>
      </c>
      <c r="G48" s="225" t="s">
        <v>125</v>
      </c>
      <c r="H48" s="279" t="s">
        <v>17</v>
      </c>
    </row>
    <row r="49" spans="1:9" s="486" customFormat="1" ht="50.25" customHeight="1" x14ac:dyDescent="0.2">
      <c r="A49" s="214"/>
      <c r="B49" s="243" t="s">
        <v>127</v>
      </c>
      <c r="C49" s="207" t="s">
        <v>605</v>
      </c>
      <c r="D49" s="24" t="s">
        <v>9</v>
      </c>
      <c r="E49" s="24" t="s">
        <v>85</v>
      </c>
      <c r="F49" s="49">
        <v>1</v>
      </c>
      <c r="G49" s="225" t="s">
        <v>128</v>
      </c>
      <c r="H49" s="279" t="s">
        <v>457</v>
      </c>
    </row>
    <row r="50" spans="1:9" s="486" customFormat="1" ht="84" customHeight="1" x14ac:dyDescent="0.2">
      <c r="A50" s="214"/>
      <c r="B50" s="243" t="s">
        <v>129</v>
      </c>
      <c r="C50" s="207" t="s">
        <v>606</v>
      </c>
      <c r="D50" s="24" t="s">
        <v>9</v>
      </c>
      <c r="E50" s="24" t="s">
        <v>10</v>
      </c>
      <c r="F50" s="24" t="s">
        <v>56</v>
      </c>
      <c r="G50" s="225" t="s">
        <v>128</v>
      </c>
      <c r="H50" s="279" t="s">
        <v>454</v>
      </c>
    </row>
    <row r="51" spans="1:9" ht="46.5" customHeight="1" x14ac:dyDescent="0.2">
      <c r="A51" s="2"/>
      <c r="B51" s="243" t="s">
        <v>130</v>
      </c>
      <c r="C51" s="207" t="s">
        <v>131</v>
      </c>
      <c r="D51" s="24" t="s">
        <v>9</v>
      </c>
      <c r="E51" s="24" t="s">
        <v>132</v>
      </c>
      <c r="F51" s="49">
        <v>1</v>
      </c>
      <c r="G51" s="207" t="s">
        <v>133</v>
      </c>
      <c r="H51" s="279" t="s">
        <v>455</v>
      </c>
    </row>
    <row r="52" spans="1:9" ht="46.5" customHeight="1" x14ac:dyDescent="0.2">
      <c r="A52" s="2"/>
      <c r="B52" s="209" t="s">
        <v>134</v>
      </c>
      <c r="C52" s="207" t="s">
        <v>607</v>
      </c>
      <c r="D52" s="24" t="s">
        <v>9</v>
      </c>
      <c r="E52" s="24" t="s">
        <v>132</v>
      </c>
      <c r="F52" s="49">
        <v>1</v>
      </c>
      <c r="G52" s="207" t="s">
        <v>133</v>
      </c>
      <c r="H52" s="279" t="s">
        <v>455</v>
      </c>
    </row>
    <row r="53" spans="1:9" ht="46.5" customHeight="1" x14ac:dyDescent="0.25">
      <c r="A53" s="2"/>
      <c r="B53" s="209" t="s">
        <v>135</v>
      </c>
      <c r="C53" s="216" t="s">
        <v>608</v>
      </c>
      <c r="D53" s="24" t="s">
        <v>9</v>
      </c>
      <c r="E53" s="24" t="s">
        <v>132</v>
      </c>
      <c r="F53" s="49">
        <v>1</v>
      </c>
      <c r="G53" s="207" t="s">
        <v>133</v>
      </c>
      <c r="H53" s="279" t="s">
        <v>455</v>
      </c>
    </row>
    <row r="54" spans="1:9" ht="54" x14ac:dyDescent="0.2">
      <c r="A54" s="2"/>
      <c r="B54" s="209" t="s">
        <v>136</v>
      </c>
      <c r="C54" s="217" t="s">
        <v>617</v>
      </c>
      <c r="D54" s="24" t="s">
        <v>9</v>
      </c>
      <c r="E54" s="24" t="s">
        <v>132</v>
      </c>
      <c r="F54" s="24">
        <v>15</v>
      </c>
      <c r="G54" s="207" t="s">
        <v>133</v>
      </c>
      <c r="H54" s="279" t="s">
        <v>455</v>
      </c>
    </row>
    <row r="55" spans="1:9" ht="27" x14ac:dyDescent="0.2">
      <c r="A55" s="2"/>
      <c r="B55" s="209" t="s">
        <v>594</v>
      </c>
      <c r="C55" s="217" t="s">
        <v>609</v>
      </c>
      <c r="D55" s="24" t="s">
        <v>9</v>
      </c>
      <c r="E55" s="24" t="s">
        <v>132</v>
      </c>
      <c r="F55" s="49">
        <v>1</v>
      </c>
      <c r="G55" s="207" t="s">
        <v>133</v>
      </c>
      <c r="H55" s="279" t="s">
        <v>455</v>
      </c>
    </row>
    <row r="56" spans="1:9" ht="27" x14ac:dyDescent="0.25">
      <c r="A56" s="2"/>
      <c r="B56" s="209" t="s">
        <v>595</v>
      </c>
      <c r="C56" s="281" t="s">
        <v>597</v>
      </c>
      <c r="D56" s="24" t="s">
        <v>9</v>
      </c>
      <c r="E56" s="24" t="s">
        <v>132</v>
      </c>
      <c r="F56" s="24" t="s">
        <v>596</v>
      </c>
      <c r="G56" s="207" t="s">
        <v>133</v>
      </c>
      <c r="H56" s="279" t="s">
        <v>455</v>
      </c>
    </row>
    <row r="57" spans="1:9" s="486" customFormat="1" ht="54.95" customHeight="1" x14ac:dyDescent="0.2">
      <c r="A57" s="210"/>
      <c r="B57" s="243" t="s">
        <v>137</v>
      </c>
      <c r="C57" s="539" t="s">
        <v>598</v>
      </c>
      <c r="D57" s="24" t="s">
        <v>9</v>
      </c>
      <c r="E57" s="138" t="s">
        <v>123</v>
      </c>
      <c r="F57" s="49">
        <v>0.3</v>
      </c>
      <c r="G57" s="225" t="s">
        <v>138</v>
      </c>
      <c r="H57" s="279" t="s">
        <v>455</v>
      </c>
    </row>
    <row r="58" spans="1:9" s="486" customFormat="1" ht="37.5" customHeight="1" x14ac:dyDescent="0.2">
      <c r="A58" s="210"/>
      <c r="B58" s="243" t="s">
        <v>139</v>
      </c>
      <c r="C58" s="207" t="s">
        <v>140</v>
      </c>
      <c r="D58" s="24" t="s">
        <v>9</v>
      </c>
      <c r="E58" s="24" t="s">
        <v>10</v>
      </c>
      <c r="F58" s="49" t="s">
        <v>141</v>
      </c>
      <c r="G58" s="225" t="s">
        <v>138</v>
      </c>
      <c r="H58" s="279" t="s">
        <v>455</v>
      </c>
    </row>
    <row r="59" spans="1:9" s="486" customFormat="1" ht="30" customHeight="1" x14ac:dyDescent="0.2">
      <c r="A59" s="210"/>
      <c r="B59" s="243" t="s">
        <v>142</v>
      </c>
      <c r="C59" s="207" t="s">
        <v>610</v>
      </c>
      <c r="D59" s="24" t="s">
        <v>9</v>
      </c>
      <c r="E59" s="24" t="s">
        <v>10</v>
      </c>
      <c r="F59" s="49" t="s">
        <v>143</v>
      </c>
      <c r="G59" s="225" t="s">
        <v>138</v>
      </c>
      <c r="H59" s="279" t="s">
        <v>455</v>
      </c>
    </row>
    <row r="60" spans="1:9" ht="69" customHeight="1" x14ac:dyDescent="0.2">
      <c r="A60" s="223" cm="1">
        <f t="array" aca="1" ref="A60" ca="1">60:62</f>
        <v>0</v>
      </c>
      <c r="B60" s="243" t="s">
        <v>144</v>
      </c>
      <c r="C60" s="207" t="s">
        <v>145</v>
      </c>
      <c r="D60" s="24" t="s">
        <v>9</v>
      </c>
      <c r="E60" s="24" t="s">
        <v>10</v>
      </c>
      <c r="F60" s="24" t="s">
        <v>56</v>
      </c>
      <c r="G60" s="225" t="s">
        <v>138</v>
      </c>
      <c r="H60" s="279" t="s">
        <v>454</v>
      </c>
    </row>
    <row r="61" spans="1:9" ht="69" customHeight="1" x14ac:dyDescent="0.2">
      <c r="A61" s="223"/>
      <c r="B61" s="209" t="s">
        <v>146</v>
      </c>
      <c r="C61" s="282" t="s">
        <v>453</v>
      </c>
      <c r="D61" s="24" t="s">
        <v>9</v>
      </c>
      <c r="E61" s="24" t="s">
        <v>123</v>
      </c>
      <c r="F61" s="24">
        <v>4</v>
      </c>
      <c r="G61" s="225" t="s">
        <v>138</v>
      </c>
      <c r="H61" s="279" t="s">
        <v>17</v>
      </c>
    </row>
    <row r="62" spans="1:9" ht="69" customHeight="1" x14ac:dyDescent="0.2">
      <c r="A62" s="223"/>
      <c r="B62" s="209" t="s">
        <v>147</v>
      </c>
      <c r="C62" s="217" t="s">
        <v>628</v>
      </c>
      <c r="D62" s="24" t="s">
        <v>9</v>
      </c>
      <c r="E62" s="24" t="s">
        <v>123</v>
      </c>
      <c r="F62" s="480" t="s">
        <v>148</v>
      </c>
      <c r="G62" s="225" t="s">
        <v>138</v>
      </c>
      <c r="H62" s="279" t="s">
        <v>17</v>
      </c>
    </row>
    <row r="63" spans="1:9" ht="55.5" customHeight="1" x14ac:dyDescent="0.2">
      <c r="A63" s="2"/>
      <c r="B63" s="243" t="s">
        <v>149</v>
      </c>
      <c r="C63" s="217" t="s">
        <v>612</v>
      </c>
      <c r="D63" s="24" t="s">
        <v>150</v>
      </c>
      <c r="E63" s="24" t="s">
        <v>151</v>
      </c>
      <c r="F63" s="49">
        <v>0.1</v>
      </c>
      <c r="G63" s="225" t="s">
        <v>152</v>
      </c>
      <c r="H63" s="279" t="s">
        <v>455</v>
      </c>
      <c r="I63" s="488" t="s">
        <v>611</v>
      </c>
    </row>
    <row r="64" spans="1:9" ht="54.75" customHeight="1" x14ac:dyDescent="0.2">
      <c r="A64" s="2"/>
      <c r="B64" s="243" t="s">
        <v>153</v>
      </c>
      <c r="C64" s="207" t="s">
        <v>154</v>
      </c>
      <c r="D64" s="24" t="s">
        <v>150</v>
      </c>
      <c r="E64" s="24" t="s">
        <v>10</v>
      </c>
      <c r="F64" s="24" t="s">
        <v>64</v>
      </c>
      <c r="G64" s="225" t="s">
        <v>152</v>
      </c>
      <c r="H64" s="279" t="s">
        <v>454</v>
      </c>
    </row>
    <row r="65" spans="1:9" ht="54.75" customHeight="1" x14ac:dyDescent="0.25">
      <c r="A65" s="218" t="s">
        <v>155</v>
      </c>
      <c r="B65" s="244" t="s">
        <v>156</v>
      </c>
      <c r="C65" s="216" t="s">
        <v>157</v>
      </c>
      <c r="D65" s="24" t="s">
        <v>150</v>
      </c>
      <c r="E65" s="24" t="s">
        <v>132</v>
      </c>
      <c r="F65" s="24" t="s">
        <v>158</v>
      </c>
      <c r="G65" s="225" t="s">
        <v>152</v>
      </c>
      <c r="H65" s="279" t="s">
        <v>455</v>
      </c>
      <c r="I65" s="488" t="s">
        <v>613</v>
      </c>
    </row>
    <row r="66" spans="1:9" s="486" customFormat="1" ht="81" customHeight="1" x14ac:dyDescent="0.2">
      <c r="A66" s="210"/>
      <c r="B66" s="243" t="s">
        <v>159</v>
      </c>
      <c r="C66" s="207" t="s">
        <v>160</v>
      </c>
      <c r="D66" s="24" t="s">
        <v>150</v>
      </c>
      <c r="E66" s="24" t="s">
        <v>10</v>
      </c>
      <c r="F66" s="24" t="s">
        <v>64</v>
      </c>
      <c r="G66" s="225" t="s">
        <v>161</v>
      </c>
      <c r="H66" s="279" t="s">
        <v>454</v>
      </c>
    </row>
    <row r="67" spans="1:9" s="486" customFormat="1" ht="60" customHeight="1" x14ac:dyDescent="0.2">
      <c r="A67" s="210"/>
      <c r="B67" s="243" t="s">
        <v>162</v>
      </c>
      <c r="C67" s="207" t="s">
        <v>163</v>
      </c>
      <c r="D67" s="24" t="s">
        <v>150</v>
      </c>
      <c r="E67" s="24" t="s">
        <v>10</v>
      </c>
      <c r="F67" s="24" t="s">
        <v>64</v>
      </c>
      <c r="G67" s="225" t="s">
        <v>161</v>
      </c>
      <c r="H67" s="279" t="s">
        <v>454</v>
      </c>
      <c r="I67" s="484" t="s">
        <v>155</v>
      </c>
    </row>
    <row r="68" spans="1:9" s="486" customFormat="1" ht="60" customHeight="1" x14ac:dyDescent="0.2">
      <c r="A68" s="210"/>
      <c r="B68" s="209" t="s">
        <v>164</v>
      </c>
      <c r="C68" s="207" t="s">
        <v>614</v>
      </c>
      <c r="D68" s="24" t="s">
        <v>122</v>
      </c>
      <c r="E68" s="24" t="s">
        <v>10</v>
      </c>
      <c r="F68" s="49">
        <v>0.7</v>
      </c>
      <c r="G68" s="225" t="s">
        <v>167</v>
      </c>
      <c r="H68" s="279" t="s">
        <v>457</v>
      </c>
    </row>
    <row r="69" spans="1:9" ht="49.5" customHeight="1" x14ac:dyDescent="0.2">
      <c r="A69" s="2"/>
      <c r="B69" s="243" t="s">
        <v>165</v>
      </c>
      <c r="C69" s="207" t="s">
        <v>166</v>
      </c>
      <c r="D69" s="24" t="s">
        <v>122</v>
      </c>
      <c r="E69" s="24" t="s">
        <v>85</v>
      </c>
      <c r="F69" s="24">
        <v>15</v>
      </c>
      <c r="G69" s="225" t="s">
        <v>167</v>
      </c>
      <c r="H69" s="279" t="s">
        <v>457</v>
      </c>
    </row>
    <row r="70" spans="1:9" ht="51" customHeight="1" x14ac:dyDescent="0.2">
      <c r="A70" s="2"/>
      <c r="B70" s="243" t="s">
        <v>168</v>
      </c>
      <c r="C70" s="207" t="s">
        <v>169</v>
      </c>
      <c r="D70" s="24" t="s">
        <v>122</v>
      </c>
      <c r="E70" s="24" t="s">
        <v>10</v>
      </c>
      <c r="F70" s="24">
        <v>3.5</v>
      </c>
      <c r="G70" s="225" t="s">
        <v>167</v>
      </c>
      <c r="H70" s="279" t="s">
        <v>454</v>
      </c>
    </row>
    <row r="71" spans="1:9" ht="51" customHeight="1" x14ac:dyDescent="0.25">
      <c r="A71" s="2"/>
      <c r="B71" s="209" t="s">
        <v>171</v>
      </c>
      <c r="C71" s="216" t="s">
        <v>615</v>
      </c>
      <c r="D71" s="24" t="s">
        <v>122</v>
      </c>
      <c r="E71" s="24" t="s">
        <v>172</v>
      </c>
      <c r="F71" s="24">
        <v>10</v>
      </c>
      <c r="G71" s="225" t="s">
        <v>167</v>
      </c>
      <c r="H71" s="279" t="s">
        <v>17</v>
      </c>
    </row>
    <row r="72" spans="1:9" ht="49.5" customHeight="1" x14ac:dyDescent="0.25">
      <c r="A72" s="2"/>
      <c r="B72" s="243" t="s">
        <v>173</v>
      </c>
      <c r="C72" s="216" t="s">
        <v>174</v>
      </c>
      <c r="D72" s="24" t="s">
        <v>122</v>
      </c>
      <c r="E72" s="24" t="s">
        <v>10</v>
      </c>
      <c r="F72" s="49">
        <v>0.4</v>
      </c>
      <c r="G72" s="225" t="s">
        <v>170</v>
      </c>
      <c r="H72" s="279" t="s">
        <v>454</v>
      </c>
    </row>
    <row r="73" spans="1:9" ht="49.5" customHeight="1" x14ac:dyDescent="0.2">
      <c r="A73" s="2"/>
      <c r="B73" s="243" t="s">
        <v>175</v>
      </c>
      <c r="C73" s="207" t="s">
        <v>176</v>
      </c>
      <c r="D73" s="24" t="s">
        <v>122</v>
      </c>
      <c r="E73" s="24" t="s">
        <v>10</v>
      </c>
      <c r="F73" s="49">
        <v>0.4</v>
      </c>
      <c r="G73" s="225" t="s">
        <v>170</v>
      </c>
      <c r="H73" s="279" t="s">
        <v>454</v>
      </c>
    </row>
    <row r="74" spans="1:9" ht="50.25" customHeight="1" x14ac:dyDescent="0.2">
      <c r="A74" s="2"/>
      <c r="B74" s="243" t="s">
        <v>177</v>
      </c>
      <c r="C74" s="207" t="s">
        <v>178</v>
      </c>
      <c r="D74" s="24" t="s">
        <v>122</v>
      </c>
      <c r="E74" s="24" t="s">
        <v>10</v>
      </c>
      <c r="F74" s="24">
        <v>3.5</v>
      </c>
      <c r="G74" s="225" t="s">
        <v>170</v>
      </c>
      <c r="H74" s="279" t="s">
        <v>454</v>
      </c>
    </row>
    <row r="75" spans="1:9" ht="57.75" customHeight="1" x14ac:dyDescent="0.2">
      <c r="A75" s="2"/>
      <c r="B75" s="243" t="s">
        <v>179</v>
      </c>
      <c r="C75" s="207" t="s">
        <v>180</v>
      </c>
      <c r="D75" s="24" t="s">
        <v>122</v>
      </c>
      <c r="E75" s="24" t="s">
        <v>10</v>
      </c>
      <c r="F75" s="24" t="s">
        <v>181</v>
      </c>
      <c r="G75" s="225" t="s">
        <v>170</v>
      </c>
      <c r="H75" s="279" t="s">
        <v>454</v>
      </c>
      <c r="I75" s="484" t="s">
        <v>616</v>
      </c>
    </row>
    <row r="76" spans="1:9" ht="45.75" customHeight="1" x14ac:dyDescent="0.2">
      <c r="A76" s="2"/>
      <c r="B76" s="243" t="s">
        <v>182</v>
      </c>
      <c r="C76" s="207" t="s">
        <v>183</v>
      </c>
      <c r="D76" s="24" t="s">
        <v>150</v>
      </c>
      <c r="E76" s="24" t="s">
        <v>132</v>
      </c>
      <c r="F76" s="49">
        <v>1</v>
      </c>
      <c r="G76" s="225" t="s">
        <v>170</v>
      </c>
      <c r="H76" s="279" t="s">
        <v>455</v>
      </c>
    </row>
    <row r="77" spans="1:9" ht="54" x14ac:dyDescent="0.25">
      <c r="A77" s="2"/>
      <c r="B77" s="243" t="s">
        <v>184</v>
      </c>
      <c r="C77" s="216" t="s">
        <v>618</v>
      </c>
      <c r="D77" s="24" t="s">
        <v>150</v>
      </c>
      <c r="E77" s="24" t="s">
        <v>132</v>
      </c>
      <c r="F77" s="49" t="s">
        <v>452</v>
      </c>
      <c r="G77" s="225" t="s">
        <v>170</v>
      </c>
      <c r="H77" s="279" t="s">
        <v>455</v>
      </c>
    </row>
    <row r="78" spans="1:9" ht="40.5" x14ac:dyDescent="0.2">
      <c r="A78" s="2"/>
      <c r="B78" s="243" t="s">
        <v>185</v>
      </c>
      <c r="C78" s="207" t="s">
        <v>186</v>
      </c>
      <c r="D78" s="24" t="s">
        <v>150</v>
      </c>
      <c r="E78" s="24" t="s">
        <v>10</v>
      </c>
      <c r="F78" s="24" t="s">
        <v>56</v>
      </c>
      <c r="G78" s="225" t="s">
        <v>170</v>
      </c>
      <c r="H78" s="279" t="s">
        <v>454</v>
      </c>
    </row>
    <row r="79" spans="1:9" ht="40.5" x14ac:dyDescent="0.2">
      <c r="A79" s="2"/>
      <c r="B79" s="243" t="s">
        <v>187</v>
      </c>
      <c r="C79" s="207" t="s">
        <v>188</v>
      </c>
      <c r="D79" s="24" t="s">
        <v>96</v>
      </c>
      <c r="E79" s="24" t="s">
        <v>10</v>
      </c>
      <c r="F79" s="24">
        <v>3.5</v>
      </c>
      <c r="G79" s="225" t="s">
        <v>189</v>
      </c>
      <c r="H79" s="279" t="s">
        <v>454</v>
      </c>
    </row>
    <row r="82" spans="2:3" ht="13.5" x14ac:dyDescent="0.2">
      <c r="B82" s="74" t="s">
        <v>155</v>
      </c>
      <c r="C82" s="219" t="s">
        <v>629</v>
      </c>
    </row>
    <row r="83" spans="2:3" ht="13.5" x14ac:dyDescent="0.2">
      <c r="B83" s="74"/>
      <c r="C83" s="220" t="s">
        <v>190</v>
      </c>
    </row>
    <row r="84" spans="2:3" ht="27.75" thickBot="1" x14ac:dyDescent="0.25">
      <c r="B84" s="74"/>
      <c r="C84" s="221" t="s">
        <v>191</v>
      </c>
    </row>
  </sheetData>
  <sheetProtection formatCells="0" formatColumns="0" formatRows="0" insertColumns="0" insertRows="0" insertHyperlinks="0" deleteColumns="0" deleteRows="0" pivotTables="0"/>
  <mergeCells count="2">
    <mergeCell ref="D2:G4"/>
    <mergeCell ref="B2:C4"/>
  </mergeCells>
  <phoneticPr fontId="25" type="noConversion"/>
  <hyperlinks>
    <hyperlink ref="G27:G28" r:id="rId1" display="https://www.uab.cat/web/estudiar/graus/sistema-de-garantia-interna-de-qualitat-del-centre/sgiq-de-la-facultat-1345722993885.html" xr:uid="{784AB19C-8C94-46D5-A954-A4132F24FCBB}"/>
    <hyperlink ref="G29:G32" r:id="rId2" display="https://www.uab.cat/web/estudiar/graus/sistema-de-garantia-interna-de-qualitat-del-centre/sgiq-de-la-facultat-1345722993885.html" xr:uid="{56083B22-8105-481D-BC4F-906E65B8D082}"/>
    <hyperlink ref="G38" r:id="rId3" display="https://www.uab.cat/web/estudiar/graus/sistema-de-garantia-interna-de-qualitat-del-centre/sgiq-de-la-facultat-1345722993885.html" xr:uid="{00817802-B8ED-4A65-9CB8-DE96E3205B1D}"/>
    <hyperlink ref="G39" r:id="rId4" display="https://www.uab.cat/web/estudiar/graus/sistema-de-garantia-interna-de-qualitat-del-centre/sgiq-de-la-facultat-1345722993885.html" xr:uid="{D5F8D7E1-160B-4E21-A557-5E3BD9C044DA}"/>
    <hyperlink ref="G40" r:id="rId5" display="https://www.uab.cat/web/estudiar/graus/sistema-de-garantia-interna-de-qualitat-del-centre/sgiq-de-la-facultat-1345722993885.html" xr:uid="{8290DA3F-A43D-4638-BCBA-A0AC0B51EF33}"/>
    <hyperlink ref="G44:G46" r:id="rId6" display="https://www.uab.cat/web/estudiar/graus/sistema-de-garantia-interna-de-qualitat-del-centre/sgiq-de-la-facultat-1345722993885.html" xr:uid="{9ACD95D4-EE5D-42E9-AB1E-9F9D12C24247}"/>
    <hyperlink ref="G47" r:id="rId7" display="https://www.uab.cat/web/estudiar/graus/sistema-de-garantia-interna-de-qualitat-del-centre/sgiq-de-la-facultat-1345722993885.html" xr:uid="{79642608-08E2-4A0D-9337-A285D7E9B25B}"/>
    <hyperlink ref="G49" r:id="rId8" display="https://www.uab.cat/web/estudiar/graus/sistema-de-garantia-interna-de-qualitat-del-centre/sgiq-de-la-facultat-1345722993885.html" xr:uid="{28BB130E-C813-4C7A-BC36-BCEEB75BA2D3}"/>
    <hyperlink ref="G50" r:id="rId9" display="https://www.uab.cat/web/estudiar/graus/sistema-de-garantia-interna-de-qualitat-del-centre/sgiq-de-la-facultat-1345722993885.html" xr:uid="{A4C4664D-1AD3-453F-A5CC-B313D3403108}"/>
    <hyperlink ref="G66" r:id="rId10" display="https://www.uab.cat/web/estudiar/graus/sistema-de-garantia-interna-de-qualitat-del-centre/sgiq-de-la-facultat-1345722993885.html" xr:uid="{E74C9013-BA43-4A4C-80C0-AB8A71D3376F}"/>
    <hyperlink ref="G67" r:id="rId11" display="https://www.uab.cat/web/estudiar/graus/sistema-de-garantia-interna-de-qualitat-del-centre/sgiq-de-la-facultat-1345722993885.html" xr:uid="{5B998CB6-F5B9-448E-9A1C-0A3915DDB9B7}"/>
    <hyperlink ref="G79" r:id="rId12" display="https://www.uab.cat/web/estudiar/graus/sistema-de-garantia-interna-de-qualitat-del-centre/sgiq-de-la-facultat-1345722993885.html" xr:uid="{60E4BF35-16FC-4107-ABA6-E29DDF9DC124}"/>
    <hyperlink ref="G69" r:id="rId13" display="https://www.uab.cat/web/estudiar/graus/sistema-de-garantia-interna-de-qualitat-del-centre/sgiq-de-la-facultat-1345722993885.html" xr:uid="{6D5D625A-8CF6-47CA-BAE4-2D7E34223182}"/>
    <hyperlink ref="G48" r:id="rId14" display="https://www.uab.cat/web/estudiar/graus/sistema-de-garantia-interna-de-qualitat-del-centre/sgiq-de-la-facultat-1345722993885.html" xr:uid="{73C3CC5B-3205-40C1-87AA-476BDA43F8DA}"/>
    <hyperlink ref="B7" location="'PE1.01_Ind01 '!A1" display="PE1.01_Ind01." xr:uid="{8CFC2A7A-1BA7-4B44-A071-51A3A4A99D50}"/>
    <hyperlink ref="B8" location="PE1.01_Ind02!A1" display="PE1.01_Ind02." xr:uid="{17F298E9-0540-49F0-B0A2-2E2A9A3368CD}"/>
    <hyperlink ref="B11" location="PE1.02_Ind01!A1" display="PE1.02_Ind01." xr:uid="{4D00DB35-2BCD-4160-9716-16151893F562}"/>
    <hyperlink ref="B12" location="PE1.02_Ind02!A1" display="PE1.02_Ind02." xr:uid="{14221F0C-9DE7-474F-9410-4292AACF30FF}"/>
    <hyperlink ref="B14" location="PE1.03_Ind01!A1" display="PE1.03_Ind01." xr:uid="{658D1CF2-4499-4774-A4DB-80AFFC7CE261}"/>
    <hyperlink ref="B15" location="PE1.03_Ind02!A1" display="PE1.03_Ind02" xr:uid="{7EB96156-C9AA-4E53-B210-C3E6EE9FCF4D}"/>
    <hyperlink ref="B16" location="PE1.03_Ind03!A1" display="PE1.03_Ind03" xr:uid="{C2A1DF68-0C77-48B1-B6BD-F1D39E1594C0}"/>
    <hyperlink ref="B17" location="'PE1.03_Ind04 '!A1" display="PE1.03_Ind04" xr:uid="{83D352ED-657A-42BE-B731-99C625FA67A5}"/>
    <hyperlink ref="B21" location="PC2.01_Ind01!A1" display="PC2.01_Ind01" xr:uid="{F8AC1EBB-EACC-4FAE-887E-4E7FBFED35BC}"/>
    <hyperlink ref="B22" location="PC2.01_Ind02!A1" display="PC2.01_Ind02" xr:uid="{9ECBD923-A7D7-421C-9042-33452F674D30}"/>
    <hyperlink ref="B23" location="PC2.01_Ind03!A1" display="PC2.01_Ind03" xr:uid="{B6755230-EB06-4E6A-9204-00EFDA43C12D}"/>
    <hyperlink ref="B24" location="PC2.01_Ind04!A1" display="PC2.01_Ind04" xr:uid="{C189A676-4DE6-4717-ACD5-B4E89AC264CC}"/>
    <hyperlink ref="B25" location="PC2.01_Ind05!A1" display="PC2.01_Ind05" xr:uid="{8E58E1CC-11EF-4770-9834-E755539EAB0A}"/>
    <hyperlink ref="B26" location="PC2.02_Ind01!A1" display="PC2.02_Ind01." xr:uid="{B5AF6500-6429-4AA5-8DD7-6E276ED37EA2}"/>
    <hyperlink ref="B27" location="PC2.03_Ind01!A1" display="PC2.03_Ind01." xr:uid="{5325DDB1-3A12-44AB-BF33-DA97E2168E09}"/>
    <hyperlink ref="B28" location="PC2.03_Ind02!A1" display="PC2.03_Ind02. " xr:uid="{4866A5FF-FF2F-4604-979B-5E325B90AE82}"/>
    <hyperlink ref="B29" location="PC2.04_Ind01!A1" display=" PC2.04_Ind01." xr:uid="{6FF3D0A7-68B6-429D-B93E-E10E874B27DF}"/>
    <hyperlink ref="B30" location="PC2.04_Ind02!A1" display="PC2.04_Ind02. " xr:uid="{AC41FFB3-6C6C-44D6-8976-D4207CF8BDF7}"/>
    <hyperlink ref="B31" location="PC2.04_Ind03!A1" display="PC2.04_Ind03. " xr:uid="{F1DFD10C-D8B3-4432-B9DE-4742D206032A}"/>
    <hyperlink ref="B32" location="PC2.04_Ind4!A1" display="PC2.04_Ind04." xr:uid="{509AE1A6-43F5-4470-802B-FD9A3A45F6F9}"/>
    <hyperlink ref="B33" location="PC2.05_Ind01!A1" display="PC2.05_Ind01." xr:uid="{76B07390-95FE-457A-B77F-EACD85107143}"/>
    <hyperlink ref="B34" location="PC3.01_Ind01!A1" display="PC3.01_Ind01. " xr:uid="{DAABA5C6-35B4-49FD-B723-4C624054DAF5}"/>
    <hyperlink ref="B35" location="PC3.01_Ind02.!A1" display="PC3.01_Ind02." xr:uid="{0F70D5ED-08F2-4B7E-B2AE-1F44B1278D77}"/>
    <hyperlink ref="B36" location="PC3.01_Ind03!A1" display="PC3.01_Ind03." xr:uid="{53092FD3-25A1-40F2-93EA-4EB0A4201C6F}"/>
    <hyperlink ref="B37" location="'PC3.01_Ind04 '!A1" display="PC3.01_Ind04." xr:uid="{BD273C9A-D4ED-44FA-B340-1AE7AD2A33DF}"/>
    <hyperlink ref="B38" location="PC3.02_Ind01!A1" display="PC3.02_Ind01." xr:uid="{79D6842C-25DC-4A7A-89AA-19BAF974C2FD}"/>
    <hyperlink ref="B39" location="PC3.03_Ind01!A1" display="PC3.03_Ind01. " xr:uid="{3F1EEDA4-1A49-4951-B6FF-36DDD5FD3DB9}"/>
    <hyperlink ref="B40" location="PC3.03_Ind02!A1" display="PC3.03_Ind02. " xr:uid="{50700F7E-A5DF-456E-ACC6-6EBE5906A3EC}"/>
    <hyperlink ref="B44" location="PC3.04_Ind01!A1" display="PC3.04_Ind01." xr:uid="{112C9615-354A-4866-818D-14C4675A0CA2}"/>
    <hyperlink ref="B45" location="'PC3.04_Ind02 '!A1" display="PC3.04_Ind02. " xr:uid="{4B6D1CDB-A83B-45DA-99D5-8209979B71BC}"/>
    <hyperlink ref="B46" location="PC3.04_Ind03!A1" display="PC3.04_Ind03." xr:uid="{B3C790E1-9E08-4A7A-A7A0-03BDF793080B}"/>
    <hyperlink ref="B47" location="PC3.05_Ind01!A1" display="PC3.05_Ind01." xr:uid="{1A3D8489-5722-4C2D-951B-3F0714D911AA}"/>
    <hyperlink ref="B48" location="PC3.05_Ind02!A1" display="PC3.05_Ind02." xr:uid="{EE34C72E-FE6A-4E3D-B8DF-7A5ADC034D6A}"/>
    <hyperlink ref="B49" location="PS4.01_Ind01!A1" display="PS4.01_Ind01. " xr:uid="{F11DC8B4-663F-4271-AF51-C4FD668A3294}"/>
    <hyperlink ref="B50" location="PS4.01_Ind02!A1" display="PS4.01_Ind02. " xr:uid="{06884451-FF2C-45E2-A953-32F25FFB5F13}"/>
    <hyperlink ref="B51" location="PS4.02_Ind01!A1" display="PS4.02_Ind01. " xr:uid="{D6CF097F-AA76-406B-AD47-BF2B15A4FBB7}"/>
    <hyperlink ref="B52" location="PS4.02_Ind02!A1" display="PS4.02_Ind02." xr:uid="{53C6CD62-7600-42FF-814E-24E0343941A0}"/>
    <hyperlink ref="B53" location="PS4.02_Ind03!A1" display="PS4.02_Ind03." xr:uid="{E2820471-F9DB-4AC2-B3B4-7E3520E3465A}"/>
    <hyperlink ref="B54" location="PS4.02_Ind04!A1" display="PS4.02_Ind04." xr:uid="{C5E32BE4-3BD7-4B2F-97B2-8122DA2A3212}"/>
    <hyperlink ref="B57" location="PS4.03_Ind01!A1" display="PS4.03_Ind01. " xr:uid="{34BAE5C7-0156-40EC-B160-DC34F8A91E1C}"/>
    <hyperlink ref="B58" location="PS4.03_Ind02!A1" display="PS4.03_Ind02. " xr:uid="{708EF7F4-AA95-4954-A6DC-EEE6A179E581}"/>
    <hyperlink ref="B59" location="PS4.03_Ind03!A1" display="PS4.03_Ind03. " xr:uid="{863C5E00-C085-4D4D-9F25-ACCC969D0A6D}"/>
    <hyperlink ref="B60" location="PS4.03_Ind04!A1" display=" PS4.03_Ind04. " xr:uid="{28139865-3462-4817-9948-8BF961891C03}"/>
    <hyperlink ref="B61" location="PS4.03_Ind05!A1" display="PS4.03_Ind05." xr:uid="{820D76EB-094F-483A-BCDE-6660DDE9D34F}"/>
    <hyperlink ref="B62" location="PS4.03_Ind06!A1" display="PS4.03_Ind06." xr:uid="{E5199830-AF36-4F77-8D37-3D1BF12C613B}"/>
    <hyperlink ref="B63" location="PS4.04_Ind01!A1" display=" PS4.04_Ind01. " xr:uid="{CE1C4E79-53AD-4C48-8C77-149D7E1CBE96}"/>
    <hyperlink ref="B65" location="PS4.04_Ind02!A1" display="PS4.04_Ind02. " xr:uid="{F822837D-4632-4A56-B151-7A6DECEC7D02}"/>
    <hyperlink ref="B64" location="PS4.04_Ind03.!A1" display=" PS4.04_Ind03.  " xr:uid="{8173D065-6D96-4264-80A5-23F7689AA6EB}"/>
    <hyperlink ref="B66" location="PS4.05_Ind01!A1" display=" PS4.05_Ind01." xr:uid="{C6EE39A8-AEC9-4F69-938D-F0061671FD4E}"/>
    <hyperlink ref="B67" location="PS4.05_Ind02!A1" display="PS4.05_Ind02. " xr:uid="{6F15329D-E219-4B27-8B09-9A9E98A15AFF}"/>
    <hyperlink ref="B68" location="PS5.03_Ind01!A1" display=" PS5.03_Ind01." xr:uid="{5DE46474-FACE-430B-A199-CF479F5A590A}"/>
    <hyperlink ref="B69" location="PS5.03_Ind02!A1" display=" PS5.03_Ind02. " xr:uid="{7F2A3D4B-8700-4C93-BF77-59849AF79DD2}"/>
    <hyperlink ref="B70" location="PS5.03_Ind03!A1" display=" PS5.03_Ind03. " xr:uid="{620821B5-ABD6-450B-B6F4-8E6455AC7C91}"/>
    <hyperlink ref="B71" location="PS5.03_Ind04!A1" display="PS5.03_Ind04." xr:uid="{9CE0804D-1D85-4EF9-AA7B-FAE6B1539CEA}"/>
    <hyperlink ref="B72" location="PS5.04_Ind01!A1" display=" PS5.04_Ind01. " xr:uid="{D388888E-8323-4330-A009-3A5C3D04C83A}"/>
    <hyperlink ref="B73" location="PS5.04_Ind02!A1" display=" PS5.04_Ind02. " xr:uid="{BC2FDA39-C856-4C93-8E99-452EB875DEB7}"/>
    <hyperlink ref="B74" location="PS5.04_Ind03!A1" display=" PS5.04_Ind03. " xr:uid="{ADF52649-BE9B-4A5E-B999-7DF379197DA5}"/>
    <hyperlink ref="B75" location="PS5.04_Ind04!A1" display=" PS5.04_Ind04. " xr:uid="{6D7F8830-BA34-4F37-8E03-391025B0F6EA}"/>
    <hyperlink ref="B76" location="PS5.05_Ind01!A1" display=" PS5.05_Ind01. " xr:uid="{A47BE556-39EA-4320-9D8A-BD3AD9DD2057}"/>
    <hyperlink ref="B77" location="PS5.05_Ind02!A1" display=" PS5.05_Ind02. " xr:uid="{CCD04D7F-BCA4-48CD-A279-06D6C7886DA2}"/>
    <hyperlink ref="B79" location="'PS5.06_Ind01   '!A1" display=" PS5.06_Ind01. " xr:uid="{D454A217-FB87-4BE8-94F4-C7253CACE450}"/>
    <hyperlink ref="B18" location="PE1.03_Ind05!A1" display="PE1.03_Ind05" xr:uid="{1A3529D6-378D-43DD-9E90-BD3FA661461A}"/>
    <hyperlink ref="B19" location="PE1.03_Ind06!A1" display="PE1.03_Ind06" xr:uid="{55B871E1-586E-4A5F-ABE9-B74DF80CA9DC}"/>
    <hyperlink ref="B20" location="PE1.03_Ind07!A1" display="PE1.03_Ind07" xr:uid="{8FC8F140-2C64-4DFD-BC51-3B123ECF3C03}"/>
    <hyperlink ref="G41" r:id="rId15" display="https://www.uab.cat/web/estudiar/graus/sistema-de-garantia-interna-de-qualitat-del-centre/sgiq-de-la-facultat-1345722993885.html" xr:uid="{65735E0C-012B-411F-8AB5-B5F110D4D17C}"/>
    <hyperlink ref="G42" r:id="rId16" display="https://www.uab.cat/web/estudiar/graus/sistema-de-garantia-interna-de-qualitat-del-centre/sgiq-de-la-facultat-1345722993885.html" xr:uid="{A6C50704-01D8-4901-BE9C-52C6EFE4F23E}"/>
    <hyperlink ref="G43" r:id="rId17" display="https://www.uab.cat/web/estudiar/graus/sistema-de-garantia-interna-de-qualitat-del-centre/sgiq-de-la-facultat-1345722993885.html" xr:uid="{8A118186-6217-4A6C-9793-ABEC762E8A4D}"/>
    <hyperlink ref="B9" location="'PE1.01_Ind03 '!A1" display="PE1-01_Ind03" xr:uid="{69B05DC7-3173-4816-8527-B7BFD693BAA2}"/>
    <hyperlink ref="B10" location="'PE1.01_Ind04 '!A1" display="PE1.01_Ind04" xr:uid="{1EFF4442-D07F-4BDB-BBD1-EEB60E5CBD65}"/>
    <hyperlink ref="B13" location="PE1.02_Ind03!A1" display="PE1.02_Ind03" xr:uid="{A8A85726-E5C7-4ECE-8F9F-AD58CE7B4DDF}"/>
    <hyperlink ref="B41" location="PC3.03_Ind03!A1" display="PC3.03_Ind03" xr:uid="{E418444A-FA54-49B3-BC84-05561F12929F}"/>
    <hyperlink ref="B42" location="'PC3.03_Ind04-V1'!A1" display="PC3.03_Ind04 " xr:uid="{722E7EE3-ACF5-4A81-B21C-A0A03D3FC90D}"/>
    <hyperlink ref="B43" location="'PC3.03_Ind05-V1'!A1" display="PC3.03_Ind05" xr:uid="{8DADFB5B-4A1A-4025-996D-07C2BB2ABF2F}"/>
    <hyperlink ref="B78" location="'PS5.05_Ind03 '!A1" display=" PS5.05_Ind03. " xr:uid="{A7720D4C-F2A4-44C1-B38A-3C57C1238FFB}"/>
    <hyperlink ref="B55" location="PS4.02_Ind05!A1" display="PS4.02_Ind05." xr:uid="{3D697B09-1D27-4B7D-B63F-0D57D8160DB9}"/>
    <hyperlink ref="B56" location="PS4.02_Ind06!A1" display="PS4.02_Ind06." xr:uid="{37F2CBB1-95F9-4C92-8E6F-714F5D09BE0F}"/>
  </hyperlinks>
  <printOptions horizontalCentered="1" gridLines="1"/>
  <pageMargins left="0.25" right="0.25" top="0.75" bottom="0.75" header="0" footer="0"/>
  <pageSetup paperSize="9" scale="52" fitToHeight="0" pageOrder="overThenDown" orientation="portrait" cellComments="atEnd" r:id="rId18"/>
  <drawing r:id="rId1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A084-461C-41E0-8A55-ACE9EAF592A2}">
  <sheetPr>
    <tabColor theme="9" tint="-0.499984740745262"/>
    <pageSetUpPr fitToPage="1"/>
  </sheetPr>
  <dimension ref="B2:T42"/>
  <sheetViews>
    <sheetView showGridLines="0" topLeftCell="A5" zoomScaleNormal="100" workbookViewId="0">
      <selection activeCell="D7" sqref="D7:E7"/>
    </sheetView>
  </sheetViews>
  <sheetFormatPr defaultColWidth="12.5703125" defaultRowHeight="15.75" customHeight="1" x14ac:dyDescent="0.2"/>
  <cols>
    <col min="1" max="1" width="3.42578125" customWidth="1"/>
    <col min="2" max="2" width="14.140625" customWidth="1"/>
    <col min="3" max="3" width="21" customWidth="1"/>
    <col min="4" max="4" width="17.28515625" bestFit="1" customWidth="1"/>
    <col min="5" max="5" width="20.5703125" customWidth="1"/>
    <col min="6" max="6" width="12.5703125" customWidth="1"/>
    <col min="7" max="7" width="17" customWidth="1"/>
    <col min="8" max="8" width="11.7109375" customWidth="1"/>
    <col min="9" max="9" width="11.28515625" customWidth="1"/>
    <col min="10" max="12" width="7.5703125" customWidth="1"/>
    <col min="14" max="14" width="19.28515625" customWidth="1"/>
  </cols>
  <sheetData>
    <row r="2" spans="2:17" ht="55.5" customHeight="1" x14ac:dyDescent="0.25">
      <c r="B2" s="588"/>
      <c r="C2" s="589"/>
      <c r="D2" s="565"/>
      <c r="E2" s="195" t="s">
        <v>192</v>
      </c>
      <c r="F2" s="176"/>
      <c r="G2" s="176"/>
    </row>
    <row r="3" spans="2:17" ht="22.5" customHeight="1" x14ac:dyDescent="0.2">
      <c r="B3" s="177"/>
      <c r="C3" s="177"/>
      <c r="D3" s="178"/>
      <c r="E3" s="178"/>
      <c r="F3" s="178"/>
      <c r="G3" s="178"/>
    </row>
    <row r="4" spans="2:17" ht="42" customHeight="1" x14ac:dyDescent="0.25">
      <c r="B4" s="561" t="s">
        <v>193</v>
      </c>
      <c r="C4" s="563"/>
      <c r="D4" s="587" t="str">
        <f>Índex!B15</f>
        <v>PE1.03_Ind02</v>
      </c>
      <c r="E4" s="565"/>
      <c r="F4" s="561" t="s">
        <v>194</v>
      </c>
      <c r="G4" s="562"/>
      <c r="H4" s="695" t="str">
        <f>Índex!C15</f>
        <v>Taxa de graduació, a temps complert, per curs acadèmic i titulació (per cohort, N+1, Graus VSMA)</v>
      </c>
      <c r="I4" s="695"/>
      <c r="J4" s="695"/>
      <c r="K4" s="695"/>
      <c r="L4" s="695"/>
      <c r="M4" s="695"/>
      <c r="N4" s="695"/>
    </row>
    <row r="5" spans="2:17" ht="22.5" customHeight="1" x14ac:dyDescent="0.25">
      <c r="B5" s="561" t="s">
        <v>195</v>
      </c>
      <c r="C5" s="563"/>
      <c r="D5" s="595" t="str">
        <f>Índex!F15</f>
        <v>≥ 50%</v>
      </c>
      <c r="E5" s="597"/>
      <c r="F5" s="688" t="s">
        <v>196</v>
      </c>
      <c r="G5" s="689"/>
      <c r="H5" s="696" t="s">
        <v>216</v>
      </c>
      <c r="I5" s="697"/>
      <c r="J5" s="697"/>
      <c r="K5" s="697"/>
      <c r="L5" s="697"/>
      <c r="M5" s="697"/>
      <c r="N5" s="698"/>
    </row>
    <row r="6" spans="2:17" ht="36.75" customHeight="1" x14ac:dyDescent="0.25">
      <c r="B6" s="561" t="s">
        <v>481</v>
      </c>
      <c r="C6" s="563"/>
      <c r="D6" s="595" t="str">
        <f>Índex!H15</f>
        <v xml:space="preserve"> Objectiu de Qualitat. Qualitat dels programes formatius</v>
      </c>
      <c r="E6" s="597"/>
      <c r="F6" s="601" t="s">
        <v>462</v>
      </c>
      <c r="G6" s="614"/>
      <c r="H6" s="699" t="s">
        <v>282</v>
      </c>
      <c r="I6" s="700"/>
      <c r="J6" s="700"/>
      <c r="K6" s="700"/>
      <c r="L6" s="700"/>
      <c r="M6" s="700"/>
      <c r="N6" s="701"/>
    </row>
    <row r="7" spans="2:17" ht="397.5" customHeight="1" x14ac:dyDescent="0.25">
      <c r="B7" s="561" t="s">
        <v>463</v>
      </c>
      <c r="C7" s="563"/>
      <c r="D7" s="690" t="s">
        <v>656</v>
      </c>
      <c r="E7" s="691"/>
      <c r="F7" s="601" t="s">
        <v>464</v>
      </c>
      <c r="G7" s="614"/>
      <c r="H7" s="702" t="s">
        <v>198</v>
      </c>
      <c r="I7" s="700"/>
      <c r="J7" s="700"/>
      <c r="K7" s="700"/>
      <c r="L7" s="700"/>
      <c r="M7" s="700"/>
      <c r="N7" s="701"/>
    </row>
    <row r="8" spans="2:17" ht="24.75" customHeight="1" x14ac:dyDescent="0.25">
      <c r="B8" s="561" t="s">
        <v>473</v>
      </c>
      <c r="C8" s="563"/>
      <c r="D8" s="595" t="str">
        <f>Índex!D15</f>
        <v>Vicedegà d’Economia i Afers Acadèmics de Postgrau</v>
      </c>
      <c r="E8" s="597"/>
      <c r="F8" s="601" t="s">
        <v>472</v>
      </c>
      <c r="G8" s="614"/>
      <c r="H8" s="699" t="str">
        <f>Índex!E15</f>
        <v>Gestora de Qualitat</v>
      </c>
      <c r="I8" s="700"/>
      <c r="J8" s="700"/>
      <c r="K8" s="700"/>
      <c r="L8" s="700"/>
      <c r="M8" s="700"/>
      <c r="N8" s="701"/>
    </row>
    <row r="9" spans="2:17" ht="31.5" customHeight="1" x14ac:dyDescent="0.25">
      <c r="B9" s="561" t="s">
        <v>461</v>
      </c>
      <c r="C9" s="563"/>
      <c r="D9" s="595" t="str">
        <f>Índex!G15</f>
        <v>PE1.03. Creació,  Disseny i Extinció de Titulacions. Mapa de Titulacions</v>
      </c>
      <c r="E9" s="597"/>
      <c r="F9" s="692" t="s">
        <v>467</v>
      </c>
      <c r="G9" s="693"/>
      <c r="H9" s="703" t="s">
        <v>484</v>
      </c>
      <c r="I9" s="704"/>
      <c r="J9" s="704"/>
      <c r="K9" s="704"/>
      <c r="L9" s="704"/>
      <c r="M9" s="704"/>
      <c r="N9" s="705"/>
    </row>
    <row r="10" spans="2:17" ht="44.25" customHeight="1" x14ac:dyDescent="0.2">
      <c r="B10" s="304"/>
      <c r="C10" s="304"/>
      <c r="D10" s="304"/>
      <c r="E10" s="304"/>
      <c r="F10" s="304"/>
      <c r="G10" s="304"/>
      <c r="H10" s="304"/>
      <c r="I10" s="304"/>
      <c r="J10" s="304"/>
      <c r="K10" s="304"/>
      <c r="L10" s="304"/>
      <c r="M10" s="304"/>
      <c r="N10" s="304"/>
    </row>
    <row r="11" spans="2:17" ht="7.5" customHeight="1" x14ac:dyDescent="0.25">
      <c r="B11" s="175"/>
      <c r="C11" s="175"/>
      <c r="D11" s="175"/>
      <c r="E11" s="175"/>
      <c r="F11" s="175"/>
      <c r="G11" s="175"/>
    </row>
    <row r="12" spans="2:17" ht="22.5" customHeight="1" x14ac:dyDescent="0.25">
      <c r="B12" s="706" t="s">
        <v>468</v>
      </c>
      <c r="C12" s="707"/>
      <c r="D12" s="707"/>
      <c r="E12" s="707"/>
      <c r="F12" s="707"/>
      <c r="G12" s="708"/>
    </row>
    <row r="13" spans="2:17" ht="22.5" customHeight="1" x14ac:dyDescent="0.25">
      <c r="B13" s="175"/>
      <c r="C13" s="175"/>
      <c r="D13" s="175"/>
      <c r="E13" s="175"/>
      <c r="F13" s="175"/>
      <c r="G13" s="175"/>
      <c r="N13" s="633" t="s">
        <v>470</v>
      </c>
      <c r="O13" s="663"/>
      <c r="P13" s="663"/>
      <c r="Q13" s="664"/>
    </row>
    <row r="14" spans="2:17" ht="22.5" customHeight="1" x14ac:dyDescent="0.25">
      <c r="B14" s="186"/>
      <c r="C14" s="186"/>
      <c r="D14" s="121" t="s">
        <v>232</v>
      </c>
      <c r="E14" s="121" t="s">
        <v>233</v>
      </c>
      <c r="F14" s="237" t="s">
        <v>200</v>
      </c>
      <c r="G14" s="237" t="s">
        <v>201</v>
      </c>
      <c r="H14" s="237" t="s">
        <v>202</v>
      </c>
      <c r="N14" s="667" t="s">
        <v>155</v>
      </c>
      <c r="O14" s="667"/>
      <c r="P14" s="667"/>
      <c r="Q14" s="667"/>
    </row>
    <row r="15" spans="2:17" ht="22.5" customHeight="1" x14ac:dyDescent="0.2">
      <c r="B15" s="682" t="s">
        <v>218</v>
      </c>
      <c r="C15" s="665"/>
      <c r="D15" s="271">
        <v>0.57530000000000003</v>
      </c>
      <c r="E15" s="271">
        <v>0.66200000000000003</v>
      </c>
      <c r="F15" s="271">
        <v>0.68569999999999998</v>
      </c>
      <c r="G15" s="271">
        <v>0.9</v>
      </c>
      <c r="H15" s="310">
        <v>0.81</v>
      </c>
      <c r="N15" s="667"/>
      <c r="O15" s="667"/>
      <c r="P15" s="667"/>
      <c r="Q15" s="667"/>
    </row>
    <row r="16" spans="2:17" ht="27.75" customHeight="1" x14ac:dyDescent="0.3">
      <c r="B16" s="665" t="s">
        <v>235</v>
      </c>
      <c r="C16" s="694"/>
      <c r="D16" s="271" t="s">
        <v>213</v>
      </c>
      <c r="E16" s="311">
        <v>0.68179999999999996</v>
      </c>
      <c r="F16" s="271" t="s">
        <v>213</v>
      </c>
      <c r="G16" s="271" t="s">
        <v>213</v>
      </c>
      <c r="H16" s="310" t="s">
        <v>213</v>
      </c>
      <c r="N16" s="667"/>
      <c r="O16" s="667"/>
      <c r="P16" s="667"/>
      <c r="Q16" s="667"/>
    </row>
    <row r="17" spans="2:20" ht="43.5" customHeight="1" x14ac:dyDescent="0.2">
      <c r="B17" s="682" t="s">
        <v>220</v>
      </c>
      <c r="C17" s="665"/>
      <c r="D17" s="271">
        <v>0.42499999999999999</v>
      </c>
      <c r="E17" s="271">
        <v>0.15379999999999999</v>
      </c>
      <c r="F17" s="271" t="s">
        <v>213</v>
      </c>
      <c r="G17" s="271">
        <v>0</v>
      </c>
      <c r="H17" s="310">
        <v>0.56999999999999995</v>
      </c>
      <c r="N17" s="667"/>
      <c r="O17" s="667"/>
      <c r="P17" s="667"/>
      <c r="Q17" s="667"/>
    </row>
    <row r="18" spans="2:20" ht="29.25" customHeight="1" x14ac:dyDescent="0.2">
      <c r="B18" s="682" t="s">
        <v>221</v>
      </c>
      <c r="C18" s="665"/>
      <c r="D18" s="271">
        <v>0.73</v>
      </c>
      <c r="E18" s="271">
        <v>0.59419999999999995</v>
      </c>
      <c r="F18" s="271">
        <v>0.57140000000000002</v>
      </c>
      <c r="G18" s="271">
        <v>0.88</v>
      </c>
      <c r="H18" s="310">
        <v>0.65</v>
      </c>
      <c r="M18" t="s">
        <v>155</v>
      </c>
      <c r="N18" s="667"/>
      <c r="O18" s="667"/>
      <c r="P18" s="667"/>
      <c r="Q18" s="667"/>
    </row>
    <row r="19" spans="2:20" ht="29.25" customHeight="1" x14ac:dyDescent="0.2">
      <c r="B19" s="682" t="s">
        <v>236</v>
      </c>
      <c r="C19" s="682"/>
      <c r="D19" s="271">
        <v>0.71430000000000005</v>
      </c>
      <c r="E19" s="271">
        <v>0.83330000000000004</v>
      </c>
      <c r="F19" s="271">
        <v>0.95650000000000002</v>
      </c>
      <c r="G19" s="271" t="s">
        <v>213</v>
      </c>
      <c r="H19" s="310" t="s">
        <v>213</v>
      </c>
      <c r="N19" s="667"/>
      <c r="O19" s="667"/>
      <c r="P19" s="667"/>
      <c r="Q19" s="667"/>
    </row>
    <row r="20" spans="2:20" ht="29.25" customHeight="1" x14ac:dyDescent="0.2">
      <c r="B20" s="712" t="s">
        <v>237</v>
      </c>
      <c r="C20" s="713"/>
      <c r="D20" s="271">
        <v>0.63639999999999997</v>
      </c>
      <c r="E20" s="271" t="s">
        <v>213</v>
      </c>
      <c r="F20" s="271" t="s">
        <v>213</v>
      </c>
      <c r="G20" s="271" t="s">
        <v>213</v>
      </c>
      <c r="H20" s="310" t="s">
        <v>213</v>
      </c>
      <c r="N20" s="667"/>
      <c r="O20" s="667"/>
      <c r="P20" s="667"/>
      <c r="Q20" s="667"/>
    </row>
    <row r="21" spans="2:20" ht="14.25" x14ac:dyDescent="0.2">
      <c r="B21" s="682" t="s">
        <v>224</v>
      </c>
      <c r="C21" s="665"/>
      <c r="D21" s="271">
        <v>0.1525</v>
      </c>
      <c r="E21" s="271">
        <v>0.26319999999999999</v>
      </c>
      <c r="F21" s="271">
        <v>0.4103</v>
      </c>
      <c r="G21" s="271">
        <v>0.34</v>
      </c>
      <c r="H21" s="310">
        <v>0.33</v>
      </c>
      <c r="N21" s="667"/>
      <c r="O21" s="667"/>
      <c r="P21" s="667"/>
      <c r="Q21" s="667"/>
    </row>
    <row r="22" spans="2:20" ht="14.25" x14ac:dyDescent="0.2">
      <c r="B22" s="665" t="s">
        <v>225</v>
      </c>
      <c r="C22" s="694"/>
      <c r="D22" s="271" t="s">
        <v>282</v>
      </c>
      <c r="E22" s="271" t="s">
        <v>213</v>
      </c>
      <c r="F22" s="271" t="s">
        <v>213</v>
      </c>
      <c r="G22" s="271">
        <v>0.61</v>
      </c>
      <c r="H22" s="310">
        <v>0.77</v>
      </c>
      <c r="N22" s="667"/>
      <c r="O22" s="667"/>
      <c r="P22" s="667"/>
      <c r="Q22" s="667"/>
    </row>
    <row r="23" spans="2:20" ht="29.25" customHeight="1" x14ac:dyDescent="0.2">
      <c r="B23" s="682" t="s">
        <v>226</v>
      </c>
      <c r="C23" s="665"/>
      <c r="D23" s="271">
        <v>0.39240000000000003</v>
      </c>
      <c r="E23" s="271">
        <v>0.4425</v>
      </c>
      <c r="F23" s="271">
        <v>0.38100000000000001</v>
      </c>
      <c r="G23" s="271">
        <v>0.73</v>
      </c>
      <c r="H23" s="310">
        <v>0.56000000000000005</v>
      </c>
      <c r="N23" s="667"/>
      <c r="O23" s="667"/>
      <c r="P23" s="667"/>
      <c r="Q23" s="667"/>
    </row>
    <row r="24" spans="2:20" ht="29.25" customHeight="1" x14ac:dyDescent="0.2">
      <c r="B24" s="682" t="s">
        <v>227</v>
      </c>
      <c r="C24" s="665"/>
      <c r="D24" s="271">
        <v>0.81689999999999996</v>
      </c>
      <c r="E24" s="271">
        <v>0.73360000000000003</v>
      </c>
      <c r="F24" s="271">
        <v>0.77939999999999998</v>
      </c>
      <c r="G24" s="271">
        <v>0.55000000000000004</v>
      </c>
      <c r="H24" s="310">
        <v>0.74</v>
      </c>
    </row>
    <row r="25" spans="2:20" ht="22.5" customHeight="1" x14ac:dyDescent="0.2">
      <c r="B25" s="682" t="s">
        <v>228</v>
      </c>
      <c r="C25" s="665"/>
      <c r="D25" s="271">
        <v>0.47539999999999999</v>
      </c>
      <c r="E25" s="271">
        <v>0.45450000000000002</v>
      </c>
      <c r="F25" s="271">
        <v>0.39860000000000001</v>
      </c>
      <c r="G25" s="271">
        <v>0.53</v>
      </c>
      <c r="H25" s="413">
        <v>0.3</v>
      </c>
    </row>
    <row r="26" spans="2:20" ht="22.5" customHeight="1" x14ac:dyDescent="0.25">
      <c r="B26" s="665" t="s">
        <v>238</v>
      </c>
      <c r="C26" s="666"/>
      <c r="D26" s="312">
        <f>COUNTIF(D15:D25,"&gt;="&amp;D28)</f>
        <v>5</v>
      </c>
      <c r="E26" s="312">
        <f>COUNTIF(E15:E25,"&gt;="&amp;E28)</f>
        <v>5</v>
      </c>
      <c r="F26" s="312">
        <f>COUNTIF(F15:F25,"&gt;="&amp;F28)</f>
        <v>4</v>
      </c>
      <c r="G26" s="312">
        <f>COUNTIF(G15:G25,"&gt;="&amp;G28)</f>
        <v>6</v>
      </c>
      <c r="H26" s="312">
        <f>COUNTIF(H15:H25,"&gt;="&amp;H28)</f>
        <v>6</v>
      </c>
    </row>
    <row r="27" spans="2:20" ht="22.5" customHeight="1" x14ac:dyDescent="0.25">
      <c r="B27" s="665" t="s">
        <v>239</v>
      </c>
      <c r="C27" s="666"/>
      <c r="D27" s="312">
        <f>COUNT(D15:D25)</f>
        <v>9</v>
      </c>
      <c r="E27" s="312">
        <f>COUNT(E15:E25)</f>
        <v>9</v>
      </c>
      <c r="F27" s="312">
        <f>COUNT(F15:F25)</f>
        <v>7</v>
      </c>
      <c r="G27" s="312">
        <f>COUNT(G15:G25)</f>
        <v>8</v>
      </c>
      <c r="H27" s="313">
        <f>COUNT(H15:H25)</f>
        <v>8</v>
      </c>
    </row>
    <row r="28" spans="2:20" ht="22.5" customHeight="1" x14ac:dyDescent="0.25">
      <c r="B28" s="710" t="s">
        <v>207</v>
      </c>
      <c r="C28" s="711"/>
      <c r="D28" s="238">
        <v>0.5</v>
      </c>
      <c r="E28" s="238">
        <v>0.5</v>
      </c>
      <c r="F28" s="238">
        <v>0.5</v>
      </c>
      <c r="G28" s="238">
        <v>0.5</v>
      </c>
      <c r="H28" s="238">
        <v>0.5</v>
      </c>
    </row>
    <row r="29" spans="2:20" ht="22.5" customHeight="1" x14ac:dyDescent="0.25">
      <c r="B29" s="710" t="s">
        <v>208</v>
      </c>
      <c r="C29" s="711"/>
      <c r="D29" s="238">
        <f>D26/D27</f>
        <v>0.55555555555555558</v>
      </c>
      <c r="E29" s="238">
        <f>E26/E27</f>
        <v>0.55555555555555558</v>
      </c>
      <c r="F29" s="238">
        <f>F26/F27</f>
        <v>0.5714285714285714</v>
      </c>
      <c r="G29" s="238">
        <f>G26/G27</f>
        <v>0.75</v>
      </c>
      <c r="H29" s="238">
        <f>H26/H27</f>
        <v>0.75</v>
      </c>
    </row>
    <row r="30" spans="2:20" ht="22.5" customHeight="1" x14ac:dyDescent="0.3">
      <c r="B30" s="184"/>
      <c r="C30" s="184"/>
      <c r="D30" s="179"/>
      <c r="E30" s="179"/>
      <c r="F30" s="179"/>
      <c r="G30" s="179"/>
    </row>
    <row r="31" spans="2:20" ht="22.5" customHeight="1" x14ac:dyDescent="0.2">
      <c r="B31" s="567" t="s">
        <v>469</v>
      </c>
      <c r="C31" s="568"/>
      <c r="D31" s="568"/>
      <c r="E31" s="569"/>
      <c r="F31" s="8"/>
    </row>
    <row r="32" spans="2:20" ht="22.5" customHeight="1" x14ac:dyDescent="0.2">
      <c r="B32" s="8"/>
      <c r="C32" s="8"/>
      <c r="D32" s="8"/>
      <c r="E32" s="8"/>
      <c r="F32" s="8"/>
      <c r="Q32" s="567" t="s">
        <v>210</v>
      </c>
      <c r="R32" s="568"/>
      <c r="S32" s="568"/>
      <c r="T32" s="569"/>
    </row>
    <row r="33" spans="2:20" ht="6" customHeight="1" x14ac:dyDescent="0.2">
      <c r="B33" s="8"/>
      <c r="C33" s="8"/>
      <c r="D33" s="8"/>
      <c r="E33" s="8"/>
      <c r="F33" s="8"/>
      <c r="Q33" s="9"/>
      <c r="R33" s="9"/>
      <c r="S33" s="9"/>
      <c r="T33" s="9"/>
    </row>
    <row r="34" spans="2:20" ht="19.5" customHeight="1" x14ac:dyDescent="0.2">
      <c r="B34" s="8"/>
      <c r="C34" s="8"/>
      <c r="D34" s="8"/>
      <c r="E34" s="8"/>
      <c r="F34" s="8"/>
      <c r="Q34" s="709" t="s">
        <v>240</v>
      </c>
      <c r="R34" s="571"/>
      <c r="S34" s="571"/>
      <c r="T34" s="572"/>
    </row>
    <row r="35" spans="2:20" ht="19.5" customHeight="1" x14ac:dyDescent="0.2">
      <c r="Q35" s="573"/>
      <c r="R35" s="574"/>
      <c r="S35" s="574"/>
      <c r="T35" s="575"/>
    </row>
    <row r="36" spans="2:20" ht="19.5" customHeight="1" x14ac:dyDescent="0.2">
      <c r="Q36" s="573"/>
      <c r="R36" s="574"/>
      <c r="S36" s="574"/>
      <c r="T36" s="575"/>
    </row>
    <row r="37" spans="2:20" ht="19.5" customHeight="1" x14ac:dyDescent="0.2">
      <c r="Q37" s="573"/>
      <c r="R37" s="574"/>
      <c r="S37" s="574"/>
      <c r="T37" s="575"/>
    </row>
    <row r="38" spans="2:20" ht="19.5" customHeight="1" x14ac:dyDescent="0.2">
      <c r="Q38" s="573"/>
      <c r="R38" s="574"/>
      <c r="S38" s="574"/>
      <c r="T38" s="575"/>
    </row>
    <row r="39" spans="2:20" ht="19.5" customHeight="1" x14ac:dyDescent="0.2">
      <c r="Q39" s="573"/>
      <c r="R39" s="574"/>
      <c r="S39" s="574"/>
      <c r="T39" s="575"/>
    </row>
    <row r="40" spans="2:20" ht="19.5" customHeight="1" x14ac:dyDescent="0.2">
      <c r="Q40" s="573"/>
      <c r="R40" s="574"/>
      <c r="S40" s="574"/>
      <c r="T40" s="575"/>
    </row>
    <row r="41" spans="2:20" ht="19.5" customHeight="1" x14ac:dyDescent="0.2">
      <c r="Q41" s="573"/>
      <c r="R41" s="574"/>
      <c r="S41" s="574"/>
      <c r="T41" s="575"/>
    </row>
    <row r="42" spans="2:20" ht="19.5" customHeight="1" x14ac:dyDescent="0.2">
      <c r="Q42" s="576"/>
      <c r="R42" s="577"/>
      <c r="S42" s="577"/>
      <c r="T42" s="578"/>
    </row>
  </sheetData>
  <sheetProtection formatCells="0" formatColumns="0" formatRows="0" insertColumns="0" insertRows="0" insertHyperlinks="0" deleteColumns="0" deleteRows="0" pivotTables="0"/>
  <mergeCells count="46">
    <mergeCell ref="Q32:T32"/>
    <mergeCell ref="Q34:T42"/>
    <mergeCell ref="B24:C24"/>
    <mergeCell ref="B25:C25"/>
    <mergeCell ref="B15:C15"/>
    <mergeCell ref="B17:C17"/>
    <mergeCell ref="B18:C18"/>
    <mergeCell ref="B21:C21"/>
    <mergeCell ref="B23:C23"/>
    <mergeCell ref="B28:C28"/>
    <mergeCell ref="B29:C29"/>
    <mergeCell ref="B31:E31"/>
    <mergeCell ref="B27:C27"/>
    <mergeCell ref="B20:C20"/>
    <mergeCell ref="B16:C16"/>
    <mergeCell ref="B26:C26"/>
    <mergeCell ref="B22:C22"/>
    <mergeCell ref="H4:N4"/>
    <mergeCell ref="H5:N5"/>
    <mergeCell ref="H6:N6"/>
    <mergeCell ref="B5:C5"/>
    <mergeCell ref="B6:C6"/>
    <mergeCell ref="H7:N7"/>
    <mergeCell ref="N13:Q13"/>
    <mergeCell ref="N14:Q23"/>
    <mergeCell ref="H9:N9"/>
    <mergeCell ref="H8:N8"/>
    <mergeCell ref="B12:G12"/>
    <mergeCell ref="B8:C8"/>
    <mergeCell ref="D8:E8"/>
    <mergeCell ref="F8:G8"/>
    <mergeCell ref="B19:C19"/>
    <mergeCell ref="B9:C9"/>
    <mergeCell ref="B7:C7"/>
    <mergeCell ref="D7:E7"/>
    <mergeCell ref="F7:G7"/>
    <mergeCell ref="D9:E9"/>
    <mergeCell ref="F9:G9"/>
    <mergeCell ref="B2:D2"/>
    <mergeCell ref="B4:C4"/>
    <mergeCell ref="D4:E4"/>
    <mergeCell ref="F4:G4"/>
    <mergeCell ref="F6:G6"/>
    <mergeCell ref="D5:E5"/>
    <mergeCell ref="F5:G5"/>
    <mergeCell ref="D6:E6"/>
  </mergeCells>
  <phoneticPr fontId="95" type="noConversion"/>
  <conditionalFormatting sqref="D15:G15 D16 F16:G16 D17:G25">
    <cfRule type="cellIs" dxfId="50" priority="1" operator="lessThan">
      <formula>0.5</formula>
    </cfRule>
  </conditionalFormatting>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2734D-364B-42B2-BF51-ED2B388276B2}">
  <sheetPr>
    <tabColor theme="9" tint="-0.499984740745262"/>
    <pageSetUpPr fitToPage="1"/>
  </sheetPr>
  <dimension ref="B2:Q39"/>
  <sheetViews>
    <sheetView showGridLines="0" zoomScaleNormal="100" workbookViewId="0">
      <selection activeCell="O7" sqref="O7"/>
    </sheetView>
  </sheetViews>
  <sheetFormatPr defaultColWidth="12.5703125" defaultRowHeight="15.75" customHeight="1" x14ac:dyDescent="0.2"/>
  <cols>
    <col min="1" max="1" width="3.42578125" customWidth="1"/>
    <col min="2" max="2" width="14.140625" customWidth="1"/>
    <col min="3" max="3" width="20.140625" customWidth="1"/>
    <col min="4" max="4" width="17.28515625" bestFit="1" customWidth="1"/>
    <col min="5" max="5" width="34.28515625" customWidth="1"/>
    <col min="6" max="6" width="12.5703125" customWidth="1"/>
    <col min="7" max="7" width="15.5703125" customWidth="1"/>
    <col min="8" max="9" width="12.5703125" customWidth="1"/>
    <col min="10" max="10" width="36.28515625" customWidth="1"/>
    <col min="11" max="11" width="8.85546875" customWidth="1"/>
    <col min="12" max="18" width="7.5703125" customWidth="1"/>
  </cols>
  <sheetData>
    <row r="2" spans="2:17" ht="55.5" customHeight="1" x14ac:dyDescent="0.2">
      <c r="B2" s="714"/>
      <c r="C2" s="715"/>
      <c r="D2" s="716"/>
      <c r="E2" s="717" t="s">
        <v>192</v>
      </c>
      <c r="F2" s="715"/>
      <c r="G2" s="715"/>
      <c r="H2" s="715"/>
      <c r="I2" s="715"/>
      <c r="J2" s="716"/>
      <c r="K2" s="3"/>
    </row>
    <row r="3" spans="2:17" ht="22.5" customHeight="1" x14ac:dyDescent="0.2">
      <c r="B3" s="41"/>
      <c r="C3" s="41"/>
      <c r="D3" s="42"/>
      <c r="E3" s="42"/>
      <c r="F3" s="42"/>
      <c r="G3" s="42"/>
      <c r="H3" s="42"/>
      <c r="I3" s="42"/>
    </row>
    <row r="4" spans="2:17" ht="42" customHeight="1" x14ac:dyDescent="0.2">
      <c r="B4" s="567" t="s">
        <v>193</v>
      </c>
      <c r="C4" s="569"/>
      <c r="D4" s="718" t="str">
        <f>Índex!B16</f>
        <v>PE1.03_Ind03</v>
      </c>
      <c r="E4" s="716"/>
      <c r="F4" s="567" t="s">
        <v>194</v>
      </c>
      <c r="G4" s="569"/>
      <c r="H4" s="718" t="str">
        <f>Índex!C16</f>
        <v>Taxa de graduació a temps complert, per curs acadèmic, i titulació (per cohort, N+1, Màsters, VSMA)</v>
      </c>
      <c r="I4" s="715"/>
      <c r="J4" s="716"/>
    </row>
    <row r="5" spans="2:17" ht="22.5" customHeight="1" x14ac:dyDescent="0.2">
      <c r="B5" s="567" t="s">
        <v>195</v>
      </c>
      <c r="C5" s="569"/>
      <c r="D5" s="720" t="str">
        <f>Índex!F16</f>
        <v>≥ 85%</v>
      </c>
      <c r="E5" s="721"/>
      <c r="F5" s="722" t="s">
        <v>196</v>
      </c>
      <c r="G5" s="723"/>
      <c r="H5" s="718" t="s">
        <v>197</v>
      </c>
      <c r="I5" s="715"/>
      <c r="J5" s="716"/>
    </row>
    <row r="6" spans="2:17" ht="32.25" customHeight="1" x14ac:dyDescent="0.2">
      <c r="B6" s="567" t="s">
        <v>471</v>
      </c>
      <c r="C6" s="719"/>
      <c r="D6" s="725" t="str">
        <f>Índex!H16</f>
        <v>Objectiu de Qualitat. Qualitat dels programes formatius</v>
      </c>
      <c r="E6" s="726"/>
      <c r="F6" s="722" t="s">
        <v>462</v>
      </c>
      <c r="G6" s="724"/>
      <c r="H6" s="718" t="s">
        <v>282</v>
      </c>
      <c r="I6" s="715"/>
      <c r="J6" s="716"/>
    </row>
    <row r="7" spans="2:17" ht="353.25" customHeight="1" x14ac:dyDescent="0.2">
      <c r="B7" s="567" t="s">
        <v>463</v>
      </c>
      <c r="C7" s="569"/>
      <c r="D7" s="690" t="s">
        <v>656</v>
      </c>
      <c r="E7" s="691"/>
      <c r="F7" s="567" t="s">
        <v>464</v>
      </c>
      <c r="G7" s="568"/>
      <c r="H7" s="727" t="s">
        <v>198</v>
      </c>
      <c r="I7" s="728"/>
      <c r="J7" s="729"/>
    </row>
    <row r="8" spans="2:17" ht="22.5" customHeight="1" x14ac:dyDescent="0.2">
      <c r="B8" s="567" t="s">
        <v>465</v>
      </c>
      <c r="C8" s="719"/>
      <c r="D8" s="718" t="str">
        <f>Índex!D16</f>
        <v>Vicedegà d’Economia i Afers Acadèmics de Postgrau</v>
      </c>
      <c r="E8" s="716"/>
      <c r="F8" s="567" t="s">
        <v>472</v>
      </c>
      <c r="G8" s="568"/>
      <c r="H8" s="727" t="str">
        <f>Índex!E16</f>
        <v>Gestora de Qualitat</v>
      </c>
      <c r="I8" s="728"/>
      <c r="J8" s="729"/>
    </row>
    <row r="9" spans="2:17" ht="34.5" customHeight="1" x14ac:dyDescent="0.2">
      <c r="B9" s="567" t="s">
        <v>461</v>
      </c>
      <c r="C9" s="719"/>
      <c r="D9" s="718" t="str">
        <f>Índex!G16</f>
        <v>PE1.03. Creació,  Disseny i Extinció de Titulacions. Mapa de Titulacions</v>
      </c>
      <c r="E9" s="716"/>
      <c r="F9" s="567" t="s">
        <v>467</v>
      </c>
      <c r="G9" s="568"/>
      <c r="H9" s="736" t="s">
        <v>484</v>
      </c>
      <c r="I9" s="737"/>
      <c r="J9" s="738"/>
    </row>
    <row r="10" spans="2:17" ht="7.5" customHeight="1" x14ac:dyDescent="0.2"/>
    <row r="11" spans="2:17" ht="22.5" customHeight="1" x14ac:dyDescent="0.2">
      <c r="B11" s="567" t="s">
        <v>468</v>
      </c>
      <c r="C11" s="568"/>
      <c r="D11" s="568"/>
      <c r="E11" s="568"/>
      <c r="F11" s="568"/>
      <c r="G11" s="568"/>
      <c r="H11" s="568"/>
      <c r="I11" s="568"/>
      <c r="J11" s="569"/>
    </row>
    <row r="12" spans="2:17" ht="22.5" customHeight="1" x14ac:dyDescent="0.2">
      <c r="B12" s="13"/>
      <c r="C12" s="12"/>
      <c r="D12" s="12"/>
      <c r="E12" s="12"/>
      <c r="F12" s="12"/>
      <c r="G12" s="12"/>
      <c r="H12" s="12"/>
      <c r="I12" s="12"/>
      <c r="J12" s="12"/>
    </row>
    <row r="13" spans="2:17" ht="22.5" customHeight="1" x14ac:dyDescent="0.2"/>
    <row r="14" spans="2:17" ht="22.5" customHeight="1" x14ac:dyDescent="0.2">
      <c r="B14" s="14"/>
      <c r="C14" s="14"/>
      <c r="D14" s="78" t="s">
        <v>201</v>
      </c>
      <c r="E14" s="78" t="s">
        <v>202</v>
      </c>
      <c r="F14" s="78" t="s">
        <v>203</v>
      </c>
      <c r="G14" s="78" t="s">
        <v>204</v>
      </c>
      <c r="H14" s="78" t="s">
        <v>205</v>
      </c>
      <c r="I14" s="72"/>
      <c r="K14" s="21"/>
    </row>
    <row r="15" spans="2:17" ht="41.25" customHeight="1" x14ac:dyDescent="0.2">
      <c r="B15" s="682" t="s">
        <v>241</v>
      </c>
      <c r="C15" s="665"/>
      <c r="D15" s="52">
        <v>0.94340000000000002</v>
      </c>
      <c r="E15" s="52">
        <v>0.91</v>
      </c>
      <c r="F15" s="52">
        <v>0.97</v>
      </c>
      <c r="G15" s="52">
        <v>0.92</v>
      </c>
      <c r="H15" s="57">
        <v>0.98</v>
      </c>
      <c r="I15" s="20"/>
      <c r="K15" s="16"/>
      <c r="N15" s="633" t="s">
        <v>470</v>
      </c>
      <c r="O15" s="663"/>
      <c r="P15" s="663"/>
      <c r="Q15" s="664"/>
    </row>
    <row r="16" spans="2:17" ht="43.5" customHeight="1" x14ac:dyDescent="0.2">
      <c r="B16" s="682" t="s">
        <v>242</v>
      </c>
      <c r="C16" s="665"/>
      <c r="D16" s="36">
        <v>0.82350000000000001</v>
      </c>
      <c r="E16" s="246">
        <v>0.83</v>
      </c>
      <c r="F16" s="52">
        <v>0.76</v>
      </c>
      <c r="G16" s="52">
        <v>0.85</v>
      </c>
      <c r="H16" s="57">
        <v>1</v>
      </c>
      <c r="N16" s="667" t="s">
        <v>155</v>
      </c>
      <c r="O16" s="667"/>
      <c r="P16" s="667"/>
      <c r="Q16" s="667"/>
    </row>
    <row r="17" spans="2:17" ht="29.25" customHeight="1" x14ac:dyDescent="0.2">
      <c r="B17" s="682" t="s">
        <v>243</v>
      </c>
      <c r="C17" s="665"/>
      <c r="D17" s="52">
        <v>0.93</v>
      </c>
      <c r="E17" s="52">
        <v>1</v>
      </c>
      <c r="F17" s="52">
        <v>0.9</v>
      </c>
      <c r="G17" s="246">
        <v>0.67</v>
      </c>
      <c r="H17" s="57">
        <v>0.92</v>
      </c>
      <c r="N17" s="667"/>
      <c r="O17" s="667"/>
      <c r="P17" s="667"/>
      <c r="Q17" s="667"/>
    </row>
    <row r="18" spans="2:17" ht="37.5" customHeight="1" x14ac:dyDescent="0.2">
      <c r="B18" s="682" t="s">
        <v>244</v>
      </c>
      <c r="C18" s="665"/>
      <c r="D18" s="246">
        <v>0.89</v>
      </c>
      <c r="E18" s="52">
        <v>0.92</v>
      </c>
      <c r="F18" s="52">
        <v>0.88</v>
      </c>
      <c r="G18" s="52">
        <v>0.86</v>
      </c>
      <c r="H18" s="57">
        <v>0.97</v>
      </c>
      <c r="N18" s="667"/>
      <c r="O18" s="667"/>
      <c r="P18" s="667"/>
      <c r="Q18" s="667"/>
    </row>
    <row r="19" spans="2:17" ht="29.25" customHeight="1" x14ac:dyDescent="0.2">
      <c r="B19" s="682" t="s">
        <v>227</v>
      </c>
      <c r="C19" s="665"/>
      <c r="D19" s="246">
        <v>0.91</v>
      </c>
      <c r="E19" s="52">
        <v>0.9</v>
      </c>
      <c r="F19" s="52">
        <v>1</v>
      </c>
      <c r="G19" s="52">
        <v>0.92</v>
      </c>
      <c r="H19" s="57">
        <v>1</v>
      </c>
      <c r="N19" s="667"/>
      <c r="O19" s="667"/>
      <c r="P19" s="667"/>
      <c r="Q19" s="667"/>
    </row>
    <row r="20" spans="2:17" ht="29.25" customHeight="1" x14ac:dyDescent="0.2">
      <c r="B20" s="682" t="s">
        <v>245</v>
      </c>
      <c r="C20" s="665"/>
      <c r="D20" s="246">
        <v>1</v>
      </c>
      <c r="E20" s="52">
        <v>1</v>
      </c>
      <c r="F20" s="52" t="s">
        <v>213</v>
      </c>
      <c r="G20" s="52">
        <v>1</v>
      </c>
      <c r="H20" s="57">
        <v>1</v>
      </c>
      <c r="N20" s="667"/>
      <c r="O20" s="667"/>
      <c r="P20" s="667"/>
      <c r="Q20" s="667"/>
    </row>
    <row r="21" spans="2:17" ht="36.75" customHeight="1" x14ac:dyDescent="0.2">
      <c r="B21" s="682" t="s">
        <v>246</v>
      </c>
      <c r="C21" s="665"/>
      <c r="D21" s="52">
        <v>0.95</v>
      </c>
      <c r="E21" s="52">
        <v>1</v>
      </c>
      <c r="F21" s="52">
        <v>0.94</v>
      </c>
      <c r="G21" s="246">
        <v>0.56000000000000005</v>
      </c>
      <c r="H21" s="57">
        <v>0.96</v>
      </c>
      <c r="N21" s="667"/>
      <c r="O21" s="667"/>
      <c r="P21" s="667"/>
      <c r="Q21" s="667"/>
    </row>
    <row r="22" spans="2:17" ht="22.5" customHeight="1" x14ac:dyDescent="0.2">
      <c r="B22" s="732" t="s">
        <v>247</v>
      </c>
      <c r="C22" s="733"/>
      <c r="D22" s="45">
        <f>COUNTIF(D15:D21,"&gt;85%")</f>
        <v>6</v>
      </c>
      <c r="E22" s="45">
        <f>COUNTIF(E15:E21,"&gt;85%")</f>
        <v>6</v>
      </c>
      <c r="F22" s="45">
        <f>COUNTIF(F15:F21,"&gt;85%")</f>
        <v>5</v>
      </c>
      <c r="G22" s="45">
        <v>5</v>
      </c>
      <c r="H22" s="293">
        <f>COUNTIF(H15:H21,"&gt;="&amp;H24)</f>
        <v>7</v>
      </c>
      <c r="N22" s="667"/>
      <c r="O22" s="667"/>
      <c r="P22" s="667"/>
      <c r="Q22" s="667"/>
    </row>
    <row r="23" spans="2:17" ht="22.5" customHeight="1" x14ac:dyDescent="0.2">
      <c r="B23" s="734" t="s">
        <v>248</v>
      </c>
      <c r="C23" s="735"/>
      <c r="D23" s="45">
        <f>COUNT(D15:D20)</f>
        <v>6</v>
      </c>
      <c r="E23" s="45">
        <f>COUNT(F15:F22)</f>
        <v>7</v>
      </c>
      <c r="F23" s="45">
        <v>7</v>
      </c>
      <c r="G23" s="45">
        <v>7</v>
      </c>
      <c r="H23" s="293">
        <f>COUNT(H15:H21)</f>
        <v>7</v>
      </c>
      <c r="N23" s="667"/>
      <c r="O23" s="667"/>
      <c r="P23" s="667"/>
      <c r="Q23" s="667"/>
    </row>
    <row r="24" spans="2:17" ht="22.5" customHeight="1" x14ac:dyDescent="0.2">
      <c r="B24" s="730" t="s">
        <v>207</v>
      </c>
      <c r="C24" s="731"/>
      <c r="D24" s="268">
        <v>0.85</v>
      </c>
      <c r="E24" s="268">
        <v>0.85</v>
      </c>
      <c r="F24" s="270">
        <v>0.85</v>
      </c>
      <c r="G24" s="270">
        <v>0.85</v>
      </c>
      <c r="H24" s="57">
        <v>0.85</v>
      </c>
      <c r="N24" s="667"/>
      <c r="O24" s="667"/>
      <c r="P24" s="667"/>
      <c r="Q24" s="667"/>
    </row>
    <row r="25" spans="2:17" ht="22.5" customHeight="1" x14ac:dyDescent="0.2">
      <c r="B25" s="730" t="s">
        <v>208</v>
      </c>
      <c r="C25" s="731"/>
      <c r="D25" s="269">
        <f>D22/D23</f>
        <v>1</v>
      </c>
      <c r="E25" s="47">
        <f>E22/E23</f>
        <v>0.8571428571428571</v>
      </c>
      <c r="F25" s="47">
        <f>F22/F23</f>
        <v>0.7142857142857143</v>
      </c>
      <c r="G25" s="47">
        <f>G22/G23</f>
        <v>0.7142857142857143</v>
      </c>
      <c r="H25" s="294">
        <f>H22/H23</f>
        <v>1</v>
      </c>
      <c r="N25" s="667"/>
      <c r="O25" s="667"/>
      <c r="P25" s="667"/>
      <c r="Q25" s="667"/>
    </row>
    <row r="26" spans="2:17" ht="22.5" customHeight="1" x14ac:dyDescent="0.25">
      <c r="B26" s="7"/>
      <c r="C26" s="7"/>
      <c r="D26" s="6"/>
      <c r="E26" s="6"/>
      <c r="F26" s="6"/>
      <c r="G26" s="6"/>
      <c r="H26" s="6"/>
      <c r="I26" s="6"/>
      <c r="J26" s="6"/>
    </row>
    <row r="27" spans="2:17" ht="22.5" customHeight="1" x14ac:dyDescent="0.2">
      <c r="B27" s="567" t="s">
        <v>469</v>
      </c>
      <c r="C27" s="568"/>
      <c r="D27" s="568"/>
      <c r="E27" s="569"/>
      <c r="F27" s="8"/>
    </row>
    <row r="39" spans="8:10" ht="19.5" customHeight="1" x14ac:dyDescent="0.2">
      <c r="H39" s="559" t="s">
        <v>155</v>
      </c>
      <c r="I39" s="560"/>
      <c r="J39" s="560"/>
    </row>
  </sheetData>
  <sheetProtection formatCells="0" formatColumns="0" formatRows="0" insertColumns="0" insertRows="0" insertHyperlinks="0" deleteColumns="0" deleteRows="0" pivotTables="0"/>
  <mergeCells count="42">
    <mergeCell ref="F8:G8"/>
    <mergeCell ref="H8:J8"/>
    <mergeCell ref="H9:J9"/>
    <mergeCell ref="F9:G9"/>
    <mergeCell ref="H39:J39"/>
    <mergeCell ref="B11:J11"/>
    <mergeCell ref="B15:C15"/>
    <mergeCell ref="D8:E8"/>
    <mergeCell ref="B27:E27"/>
    <mergeCell ref="B18:C18"/>
    <mergeCell ref="B16:C16"/>
    <mergeCell ref="B17:C17"/>
    <mergeCell ref="N16:Q25"/>
    <mergeCell ref="B20:C20"/>
    <mergeCell ref="B24:C24"/>
    <mergeCell ref="B25:C25"/>
    <mergeCell ref="B19:C19"/>
    <mergeCell ref="B21:C21"/>
    <mergeCell ref="B22:C22"/>
    <mergeCell ref="B23:C23"/>
    <mergeCell ref="N15:Q15"/>
    <mergeCell ref="B9:C9"/>
    <mergeCell ref="B5:C5"/>
    <mergeCell ref="D5:E5"/>
    <mergeCell ref="F5:G5"/>
    <mergeCell ref="H5:J5"/>
    <mergeCell ref="B7:C7"/>
    <mergeCell ref="D7:E7"/>
    <mergeCell ref="F7:G7"/>
    <mergeCell ref="B6:C6"/>
    <mergeCell ref="F6:G6"/>
    <mergeCell ref="H6:J6"/>
    <mergeCell ref="B8:C8"/>
    <mergeCell ref="D9:E9"/>
    <mergeCell ref="D6:E6"/>
    <mergeCell ref="H7:J7"/>
    <mergeCell ref="B2:D2"/>
    <mergeCell ref="E2:J2"/>
    <mergeCell ref="B4:C4"/>
    <mergeCell ref="D4:E4"/>
    <mergeCell ref="F4:G4"/>
    <mergeCell ref="H4:J4"/>
  </mergeCells>
  <conditionalFormatting sqref="B14:G21">
    <cfRule type="cellIs" priority="2" operator="lessThan">
      <formula>0.85</formula>
    </cfRule>
  </conditionalFormatting>
  <conditionalFormatting sqref="D15:F21">
    <cfRule type="cellIs" priority="5" operator="lessThan">
      <formula>0.85</formula>
    </cfRule>
  </conditionalFormatting>
  <conditionalFormatting sqref="H14">
    <cfRule type="cellIs" priority="1" operator="lessThan">
      <formula>0.85</formula>
    </cfRule>
  </conditionalFormatting>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91E9-DD39-42C6-9001-D24FE1F38A81}">
  <sheetPr>
    <tabColor theme="9" tint="-0.499984740745262"/>
    <pageSetUpPr fitToPage="1"/>
  </sheetPr>
  <dimension ref="B2:P49"/>
  <sheetViews>
    <sheetView showGridLines="0" zoomScale="91" zoomScaleNormal="91" workbookViewId="0"/>
  </sheetViews>
  <sheetFormatPr defaultColWidth="12.5703125" defaultRowHeight="15.75" customHeight="1" x14ac:dyDescent="0.2"/>
  <cols>
    <col min="1" max="1" width="3.42578125" customWidth="1"/>
    <col min="2" max="2" width="14.140625" customWidth="1"/>
    <col min="3" max="3" width="16.5703125" customWidth="1"/>
    <col min="4" max="4" width="17.28515625" bestFit="1" customWidth="1"/>
    <col min="5" max="5" width="12.5703125" customWidth="1"/>
    <col min="6" max="6" width="26.42578125" customWidth="1"/>
    <col min="7" max="8" width="12.5703125" customWidth="1"/>
    <col min="9" max="9" width="36.28515625" customWidth="1"/>
    <col min="10" max="10" width="8.85546875" customWidth="1"/>
    <col min="11" max="15" width="7.5703125" customWidth="1"/>
    <col min="16" max="16" width="15.140625" customWidth="1"/>
    <col min="17" max="20" width="7.5703125" customWidth="1"/>
  </cols>
  <sheetData>
    <row r="2" spans="2:16" ht="55.5" customHeight="1" x14ac:dyDescent="0.2">
      <c r="B2" s="714"/>
      <c r="C2" s="715"/>
      <c r="D2" s="716"/>
      <c r="E2" s="717" t="s">
        <v>192</v>
      </c>
      <c r="F2" s="715"/>
      <c r="G2" s="715"/>
      <c r="H2" s="715"/>
      <c r="I2" s="716"/>
    </row>
    <row r="3" spans="2:16" ht="22.5" customHeight="1" x14ac:dyDescent="0.2">
      <c r="B3" s="41"/>
      <c r="C3" s="41"/>
      <c r="D3" s="42"/>
      <c r="E3" s="42"/>
      <c r="F3" s="42"/>
      <c r="G3" s="42"/>
      <c r="H3" s="42"/>
    </row>
    <row r="4" spans="2:16" ht="42" customHeight="1" x14ac:dyDescent="0.2">
      <c r="B4" s="567" t="s">
        <v>193</v>
      </c>
      <c r="C4" s="569"/>
      <c r="D4" s="718" t="str">
        <f>Índex!B17</f>
        <v>PE1.03_Ind04</v>
      </c>
      <c r="E4" s="716"/>
      <c r="F4" s="62" t="s">
        <v>194</v>
      </c>
      <c r="G4" s="718" t="str">
        <f>Índex!C17</f>
        <v xml:space="preserve">Taxa d’ocupació de les persones titulades, per titulació </v>
      </c>
      <c r="H4" s="715"/>
      <c r="I4" s="716"/>
    </row>
    <row r="5" spans="2:16" ht="22.5" customHeight="1" x14ac:dyDescent="0.2">
      <c r="B5" s="567" t="s">
        <v>195</v>
      </c>
      <c r="C5" s="569"/>
      <c r="D5" s="718" t="str">
        <f>Índex!F17</f>
        <v>≥70%</v>
      </c>
      <c r="E5" s="716"/>
      <c r="F5" s="62" t="s">
        <v>196</v>
      </c>
      <c r="G5" s="718" t="s">
        <v>216</v>
      </c>
      <c r="H5" s="715"/>
      <c r="I5" s="716"/>
    </row>
    <row r="6" spans="2:16" ht="37.5" customHeight="1" x14ac:dyDescent="0.2">
      <c r="B6" s="567" t="s">
        <v>471</v>
      </c>
      <c r="C6" s="569"/>
      <c r="D6" s="718" t="str">
        <f>Índex!H17</f>
        <v>Objectiu de Qualitat. Qualitat dels programes formatius</v>
      </c>
      <c r="E6" s="716"/>
      <c r="F6" s="62" t="s">
        <v>462</v>
      </c>
      <c r="G6" s="718"/>
      <c r="H6" s="715"/>
      <c r="I6" s="716"/>
    </row>
    <row r="7" spans="2:16" ht="22.5" customHeight="1" x14ac:dyDescent="0.2">
      <c r="B7" s="567" t="s">
        <v>463</v>
      </c>
      <c r="C7" s="569"/>
      <c r="D7" s="718"/>
      <c r="E7" s="716"/>
      <c r="F7" s="62" t="s">
        <v>464</v>
      </c>
      <c r="G7" s="718" t="s">
        <v>198</v>
      </c>
      <c r="H7" s="715"/>
      <c r="I7" s="716"/>
    </row>
    <row r="8" spans="2:16" ht="26.25" customHeight="1" x14ac:dyDescent="0.2">
      <c r="B8" s="567" t="s">
        <v>465</v>
      </c>
      <c r="C8" s="569"/>
      <c r="D8" s="718" t="str">
        <f>Índex!D17</f>
        <v>Vicedegà d’Economia i Afers Acadèmics de Postgrau</v>
      </c>
      <c r="E8" s="716"/>
      <c r="F8" s="62" t="s">
        <v>472</v>
      </c>
      <c r="G8" s="718" t="str">
        <f>Índex!E17</f>
        <v>Gestora de Qualitat</v>
      </c>
      <c r="H8" s="715"/>
      <c r="I8" s="716"/>
    </row>
    <row r="9" spans="2:16" ht="79.5" customHeight="1" x14ac:dyDescent="0.2">
      <c r="B9" s="567" t="s">
        <v>461</v>
      </c>
      <c r="C9" s="569"/>
      <c r="D9" s="718" t="str">
        <f>Índex!G17</f>
        <v>PE1.03. Creació,  Disseny i Extinció de Titulacions. Mapa de Titulacions</v>
      </c>
      <c r="E9" s="716"/>
      <c r="F9" s="62" t="s">
        <v>467</v>
      </c>
      <c r="G9" s="718" t="s">
        <v>570</v>
      </c>
      <c r="H9" s="715"/>
      <c r="I9" s="716"/>
    </row>
    <row r="10" spans="2:16" ht="7.5" customHeight="1" x14ac:dyDescent="0.2"/>
    <row r="11" spans="2:16" ht="22.5" customHeight="1" x14ac:dyDescent="0.2">
      <c r="B11" s="567" t="s">
        <v>468</v>
      </c>
      <c r="C11" s="568"/>
      <c r="D11" s="568"/>
      <c r="E11" s="568"/>
      <c r="F11" s="568"/>
      <c r="G11" s="568"/>
      <c r="H11" s="568"/>
      <c r="I11" s="569"/>
    </row>
    <row r="12" spans="2:16" ht="22.5" customHeight="1" x14ac:dyDescent="0.2">
      <c r="B12" s="17" t="s">
        <v>155</v>
      </c>
      <c r="C12" s="12"/>
      <c r="D12" s="12"/>
      <c r="E12" s="12"/>
      <c r="F12" s="12"/>
      <c r="G12" s="12"/>
      <c r="H12" s="12"/>
      <c r="I12" s="12"/>
    </row>
    <row r="13" spans="2:16" ht="22.5" customHeight="1" x14ac:dyDescent="0.2"/>
    <row r="14" spans="2:16" ht="22.5" customHeight="1" x14ac:dyDescent="0.2">
      <c r="B14" s="14"/>
      <c r="C14" s="14"/>
      <c r="D14" s="84">
        <v>2014</v>
      </c>
      <c r="E14" s="84">
        <v>2017</v>
      </c>
      <c r="F14" s="84">
        <v>2020</v>
      </c>
      <c r="G14" s="84">
        <v>2023</v>
      </c>
      <c r="I14" s="21"/>
    </row>
    <row r="15" spans="2:16" ht="41.25" customHeight="1" x14ac:dyDescent="0.2">
      <c r="B15" s="739" t="s">
        <v>218</v>
      </c>
      <c r="C15" s="739"/>
      <c r="D15" s="384">
        <v>0.7</v>
      </c>
      <c r="E15" s="384">
        <v>0.84199999999999997</v>
      </c>
      <c r="F15" s="384">
        <v>0.71099999999999997</v>
      </c>
      <c r="G15" s="384">
        <v>0.85699999999999998</v>
      </c>
      <c r="I15" s="16"/>
      <c r="N15" s="742" t="s">
        <v>470</v>
      </c>
      <c r="O15" s="742"/>
      <c r="P15" s="742"/>
    </row>
    <row r="16" spans="2:16" ht="29.25" customHeight="1" x14ac:dyDescent="0.2">
      <c r="B16" s="739" t="s">
        <v>220</v>
      </c>
      <c r="C16" s="739"/>
      <c r="D16" s="384" t="s">
        <v>213</v>
      </c>
      <c r="E16" s="384">
        <v>0.94399999999999995</v>
      </c>
      <c r="F16" s="384" t="s">
        <v>213</v>
      </c>
      <c r="G16" s="384">
        <v>0.92600000000000005</v>
      </c>
      <c r="I16" s="16"/>
      <c r="N16" s="743" t="s">
        <v>619</v>
      </c>
      <c r="O16" s="743"/>
      <c r="P16" s="743"/>
    </row>
    <row r="17" spans="2:16" ht="13.5" x14ac:dyDescent="0.2">
      <c r="B17" s="739" t="s">
        <v>221</v>
      </c>
      <c r="C17" s="739"/>
      <c r="D17" s="384" t="s">
        <v>213</v>
      </c>
      <c r="E17" s="384" t="s">
        <v>213</v>
      </c>
      <c r="F17" s="384">
        <v>0.91700000000000004</v>
      </c>
      <c r="G17" s="384">
        <v>0.95</v>
      </c>
      <c r="I17" s="16"/>
      <c r="N17" s="743"/>
      <c r="O17" s="743"/>
      <c r="P17" s="743"/>
    </row>
    <row r="18" spans="2:16" ht="37.5" customHeight="1" x14ac:dyDescent="0.2">
      <c r="B18" s="739" t="s">
        <v>224</v>
      </c>
      <c r="C18" s="739"/>
      <c r="D18" s="384" t="s">
        <v>249</v>
      </c>
      <c r="E18" s="384">
        <v>0.69599999999999995</v>
      </c>
      <c r="F18" s="384">
        <v>0.89500000000000002</v>
      </c>
      <c r="G18" s="384">
        <v>0.93200000000000005</v>
      </c>
      <c r="I18" s="16"/>
      <c r="N18" s="743"/>
      <c r="O18" s="743"/>
      <c r="P18" s="743"/>
    </row>
    <row r="19" spans="2:16" ht="50.25" customHeight="1" x14ac:dyDescent="0.2">
      <c r="B19" s="739" t="s">
        <v>225</v>
      </c>
      <c r="C19" s="739"/>
      <c r="D19" s="384" t="s">
        <v>213</v>
      </c>
      <c r="E19" s="384" t="s">
        <v>213</v>
      </c>
      <c r="F19" s="384" t="s">
        <v>213</v>
      </c>
      <c r="G19" s="384" t="s">
        <v>213</v>
      </c>
      <c r="I19" s="16"/>
      <c r="N19" s="743"/>
      <c r="O19" s="743"/>
      <c r="P19" s="743"/>
    </row>
    <row r="20" spans="2:16" ht="29.25" customHeight="1" x14ac:dyDescent="0.2">
      <c r="B20" s="739" t="s">
        <v>226</v>
      </c>
      <c r="C20" s="739"/>
      <c r="D20" s="384" t="s">
        <v>213</v>
      </c>
      <c r="E20" s="384" t="s">
        <v>213</v>
      </c>
      <c r="F20" s="384" t="s">
        <v>213</v>
      </c>
      <c r="G20" s="384">
        <v>0.88600000000000001</v>
      </c>
      <c r="I20" s="16"/>
      <c r="N20" s="743"/>
      <c r="O20" s="743"/>
      <c r="P20" s="743"/>
    </row>
    <row r="21" spans="2:16" ht="29.25" customHeight="1" x14ac:dyDescent="0.2">
      <c r="B21" s="739" t="s">
        <v>227</v>
      </c>
      <c r="C21" s="739"/>
      <c r="D21" s="384" t="s">
        <v>213</v>
      </c>
      <c r="E21" s="384" t="s">
        <v>213</v>
      </c>
      <c r="F21" s="384">
        <v>0.89700000000000002</v>
      </c>
      <c r="G21" s="384">
        <v>0.83599999999999997</v>
      </c>
      <c r="I21" s="20"/>
      <c r="N21" s="743"/>
      <c r="O21" s="743"/>
      <c r="P21" s="743"/>
    </row>
    <row r="22" spans="2:16" ht="15" customHeight="1" x14ac:dyDescent="0.2">
      <c r="B22" s="739" t="s">
        <v>228</v>
      </c>
      <c r="C22" s="739"/>
      <c r="D22" s="384">
        <v>0.81299999999999994</v>
      </c>
      <c r="E22" s="384">
        <v>0.91800000000000004</v>
      </c>
      <c r="F22" s="384">
        <v>0.90900000000000003</v>
      </c>
      <c r="G22" s="384">
        <v>0.90100000000000002</v>
      </c>
      <c r="I22" s="16"/>
      <c r="N22" s="743"/>
      <c r="O22" s="743"/>
      <c r="P22" s="743"/>
    </row>
    <row r="23" spans="2:16" ht="49.5" customHeight="1" x14ac:dyDescent="0.2">
      <c r="B23" s="739" t="s">
        <v>241</v>
      </c>
      <c r="C23" s="739"/>
      <c r="D23" s="384">
        <v>0.878</v>
      </c>
      <c r="E23" s="384">
        <v>0.92200000000000004</v>
      </c>
      <c r="F23" s="384">
        <v>0.875</v>
      </c>
      <c r="G23" s="384">
        <v>0.9</v>
      </c>
      <c r="I23" s="16"/>
      <c r="N23" s="743"/>
      <c r="O23" s="743"/>
      <c r="P23" s="743"/>
    </row>
    <row r="24" spans="2:16" ht="45" customHeight="1" x14ac:dyDescent="0.2">
      <c r="B24" s="739" t="s">
        <v>251</v>
      </c>
      <c r="C24" s="739"/>
      <c r="D24" s="384" t="s">
        <v>213</v>
      </c>
      <c r="E24" s="384">
        <v>0.85699999999999998</v>
      </c>
      <c r="F24" s="384" t="s">
        <v>213</v>
      </c>
      <c r="G24" s="384">
        <v>0.95199999999999996</v>
      </c>
      <c r="I24" s="16"/>
      <c r="N24" s="743"/>
      <c r="O24" s="743"/>
      <c r="P24" s="743"/>
    </row>
    <row r="25" spans="2:16" ht="28.5" customHeight="1" x14ac:dyDescent="0.2">
      <c r="B25" s="739" t="s">
        <v>252</v>
      </c>
      <c r="C25" s="739"/>
      <c r="D25" s="384">
        <v>0.71899999999999997</v>
      </c>
      <c r="E25" s="384">
        <v>0.81299999999999994</v>
      </c>
      <c r="F25" s="384">
        <v>0.877</v>
      </c>
      <c r="G25" s="384">
        <v>0.76500000000000001</v>
      </c>
      <c r="N25" s="743"/>
      <c r="O25" s="743"/>
      <c r="P25" s="743"/>
    </row>
    <row r="26" spans="2:16" ht="33.75" customHeight="1" x14ac:dyDescent="0.2">
      <c r="B26" s="739" t="s">
        <v>244</v>
      </c>
      <c r="C26" s="739"/>
      <c r="D26" s="384">
        <v>0.89400000000000002</v>
      </c>
      <c r="E26" s="384">
        <v>0.91200000000000003</v>
      </c>
      <c r="F26" s="384">
        <v>0.94399999999999995</v>
      </c>
      <c r="G26" s="384">
        <v>0.92300000000000004</v>
      </c>
    </row>
    <row r="27" spans="2:16" ht="26.25" customHeight="1" x14ac:dyDescent="0.2">
      <c r="B27" s="739" t="s">
        <v>253</v>
      </c>
      <c r="C27" s="739"/>
      <c r="D27" s="384" t="s">
        <v>213</v>
      </c>
      <c r="E27" s="384" t="s">
        <v>213</v>
      </c>
      <c r="F27" s="384" t="s">
        <v>213</v>
      </c>
      <c r="G27" s="384">
        <v>0.95499999999999996</v>
      </c>
    </row>
    <row r="28" spans="2:16" ht="26.25" customHeight="1" x14ac:dyDescent="0.2">
      <c r="B28" s="739" t="s">
        <v>245</v>
      </c>
      <c r="C28" s="739"/>
      <c r="D28" s="384">
        <v>0.83599999999999997</v>
      </c>
      <c r="E28" s="384">
        <v>0.88900000000000001</v>
      </c>
      <c r="F28" s="384">
        <v>0.88</v>
      </c>
      <c r="G28" s="384">
        <v>0.85699999999999998</v>
      </c>
    </row>
    <row r="29" spans="2:16" ht="44.1" customHeight="1" x14ac:dyDescent="0.2">
      <c r="B29" s="739" t="s">
        <v>254</v>
      </c>
      <c r="C29" s="739"/>
      <c r="D29" s="384">
        <v>0.95</v>
      </c>
      <c r="E29" s="384">
        <v>0.69199999999999995</v>
      </c>
      <c r="F29" s="384">
        <v>0.82899999999999996</v>
      </c>
      <c r="G29" s="384">
        <v>0.92200000000000004</v>
      </c>
    </row>
    <row r="30" spans="2:16" ht="26.45" customHeight="1" x14ac:dyDescent="0.2">
      <c r="B30" s="744" t="s">
        <v>255</v>
      </c>
      <c r="C30" s="745"/>
      <c r="D30" s="385">
        <f>COUNTIF(D15:D29,"&gt;="&amp;D32)</f>
        <v>7</v>
      </c>
      <c r="E30" s="385">
        <f>COUNTIF(E15:E29,"&gt;="&amp;E32)</f>
        <v>8</v>
      </c>
      <c r="F30" s="385">
        <f>COUNTIF(F15:F29,"&gt;="&amp;F32)</f>
        <v>10</v>
      </c>
      <c r="G30" s="385">
        <f>COUNTIF(G15:G29,"&gt;="&amp;G32)</f>
        <v>14</v>
      </c>
      <c r="H30" s="16"/>
    </row>
    <row r="31" spans="2:16" ht="32.1" customHeight="1" x14ac:dyDescent="0.2">
      <c r="B31" s="744" t="s">
        <v>231</v>
      </c>
      <c r="C31" s="745"/>
      <c r="D31" s="385">
        <f>COUNT(D15:D29)</f>
        <v>7</v>
      </c>
      <c r="E31" s="385">
        <f>COUNT(E15:E29)</f>
        <v>10</v>
      </c>
      <c r="F31" s="385">
        <f>COUNT(F15:F29)</f>
        <v>10</v>
      </c>
      <c r="G31" s="385">
        <f>COUNT(G15:G29)</f>
        <v>14</v>
      </c>
      <c r="H31" s="16"/>
    </row>
    <row r="32" spans="2:16" ht="32.1" customHeight="1" x14ac:dyDescent="0.2">
      <c r="B32" s="740" t="s">
        <v>5</v>
      </c>
      <c r="C32" s="741"/>
      <c r="D32" s="305">
        <v>0.7</v>
      </c>
      <c r="E32" s="305">
        <v>0.7</v>
      </c>
      <c r="F32" s="305">
        <v>0.7</v>
      </c>
      <c r="G32" s="305">
        <v>0.7</v>
      </c>
      <c r="H32" s="16"/>
    </row>
    <row r="33" spans="2:10" ht="15" customHeight="1" x14ac:dyDescent="0.2">
      <c r="B33" s="740" t="s">
        <v>215</v>
      </c>
      <c r="C33" s="741"/>
      <c r="D33" s="47">
        <f>D30/D31</f>
        <v>1</v>
      </c>
      <c r="E33" s="47">
        <f>E30/E31</f>
        <v>0.8</v>
      </c>
      <c r="F33" s="47">
        <f>F30/F31</f>
        <v>1</v>
      </c>
      <c r="G33" s="47">
        <f>G30/G31</f>
        <v>1</v>
      </c>
      <c r="H33" s="16"/>
    </row>
    <row r="34" spans="2:10" ht="15" customHeight="1" x14ac:dyDescent="0.2">
      <c r="B34" s="18"/>
      <c r="C34" s="18"/>
      <c r="D34" s="19"/>
      <c r="E34" s="19"/>
      <c r="F34" s="19"/>
      <c r="H34" s="16"/>
    </row>
    <row r="35" spans="2:10" ht="15" customHeight="1" x14ac:dyDescent="0.2">
      <c r="B35" s="18"/>
      <c r="C35" s="18"/>
      <c r="D35" s="19"/>
      <c r="E35" s="19"/>
      <c r="F35" s="19"/>
      <c r="H35" s="16"/>
    </row>
    <row r="36" spans="2:10" ht="15" customHeight="1" x14ac:dyDescent="0.2">
      <c r="B36" s="567" t="s">
        <v>469</v>
      </c>
      <c r="C36" s="568"/>
      <c r="D36" s="568"/>
      <c r="E36" s="569"/>
      <c r="F36" s="19"/>
      <c r="H36" s="16"/>
      <c r="J36" s="16"/>
    </row>
    <row r="37" spans="2:10" ht="22.5" customHeight="1" x14ac:dyDescent="0.25">
      <c r="B37" s="7"/>
      <c r="C37" s="7"/>
      <c r="D37" s="6"/>
      <c r="E37" s="6"/>
      <c r="F37" s="6"/>
      <c r="G37" s="6"/>
      <c r="H37" s="6"/>
      <c r="I37" s="6"/>
    </row>
    <row r="38" spans="2:10" ht="22.5" customHeight="1" x14ac:dyDescent="0.2">
      <c r="B38" s="8"/>
      <c r="C38" s="8"/>
      <c r="D38" s="8"/>
      <c r="E38" s="8"/>
      <c r="F38" s="8"/>
    </row>
    <row r="39" spans="2:10" ht="6" customHeight="1" x14ac:dyDescent="0.2">
      <c r="B39" s="8"/>
      <c r="C39" s="8"/>
      <c r="D39" s="8"/>
      <c r="E39" s="8"/>
      <c r="F39" s="8"/>
    </row>
    <row r="40" spans="2:10" ht="19.5" customHeight="1" x14ac:dyDescent="0.2">
      <c r="B40" s="8"/>
      <c r="C40" s="8"/>
      <c r="D40" s="8"/>
      <c r="E40" s="8"/>
      <c r="F40" s="8"/>
    </row>
    <row r="41" spans="2:10" ht="19.5" customHeight="1" x14ac:dyDescent="0.2">
      <c r="B41" s="8"/>
      <c r="C41" s="8"/>
      <c r="D41" s="8"/>
      <c r="E41" s="8"/>
      <c r="F41" s="8"/>
    </row>
    <row r="42" spans="2:10" ht="19.5" customHeight="1" x14ac:dyDescent="0.2">
      <c r="B42" s="8"/>
      <c r="C42" s="8"/>
      <c r="D42" s="8"/>
      <c r="E42" s="8"/>
      <c r="F42" s="8"/>
    </row>
    <row r="43" spans="2:10" ht="19.5" customHeight="1" x14ac:dyDescent="0.2">
      <c r="B43" s="8"/>
      <c r="C43" s="8"/>
      <c r="D43" s="8"/>
      <c r="E43" s="8"/>
      <c r="F43" s="8"/>
    </row>
    <row r="44" spans="2:10" ht="19.5" customHeight="1" x14ac:dyDescent="0.2">
      <c r="B44" s="8"/>
      <c r="C44" s="8"/>
      <c r="D44" s="8"/>
      <c r="E44" s="8"/>
      <c r="F44" s="8"/>
    </row>
    <row r="45" spans="2:10" ht="19.5" customHeight="1" x14ac:dyDescent="0.2">
      <c r="B45" s="8"/>
      <c r="C45" s="8"/>
      <c r="D45" s="8"/>
      <c r="E45" s="8"/>
      <c r="F45" s="8"/>
    </row>
    <row r="46" spans="2:10" ht="19.5" customHeight="1" x14ac:dyDescent="0.2">
      <c r="B46" s="8"/>
      <c r="C46" s="8"/>
      <c r="D46" s="8"/>
      <c r="E46" s="8"/>
      <c r="F46" s="8"/>
    </row>
    <row r="47" spans="2:10" ht="19.5" customHeight="1" x14ac:dyDescent="0.2">
      <c r="B47" s="8"/>
      <c r="C47" s="8"/>
      <c r="D47" s="8"/>
      <c r="E47" s="8"/>
      <c r="F47" s="8"/>
    </row>
    <row r="48" spans="2:10" ht="19.5" customHeight="1" x14ac:dyDescent="0.2"/>
    <row r="49" spans="7:9" ht="19.5" customHeight="1" x14ac:dyDescent="0.2">
      <c r="G49" s="559" t="s">
        <v>155</v>
      </c>
      <c r="H49" s="560"/>
      <c r="I49" s="560"/>
    </row>
  </sheetData>
  <sheetProtection formatCells="0" formatColumns="0" formatRows="0" insertColumns="0" insertRows="0" insertHyperlinks="0" deleteColumns="0" deleteRows="0" pivotTables="0"/>
  <mergeCells count="44">
    <mergeCell ref="G7:I7"/>
    <mergeCell ref="N15:P15"/>
    <mergeCell ref="N16:P25"/>
    <mergeCell ref="B30:C30"/>
    <mergeCell ref="B31:C31"/>
    <mergeCell ref="B15:C15"/>
    <mergeCell ref="B16:C16"/>
    <mergeCell ref="B17:C17"/>
    <mergeCell ref="B18:C18"/>
    <mergeCell ref="B19:C19"/>
    <mergeCell ref="B20:C20"/>
    <mergeCell ref="B21:C21"/>
    <mergeCell ref="B22:C22"/>
    <mergeCell ref="B26:C26"/>
    <mergeCell ref="B23:C23"/>
    <mergeCell ref="B24:C24"/>
    <mergeCell ref="B32:C32"/>
    <mergeCell ref="B33:C33"/>
    <mergeCell ref="B28:C28"/>
    <mergeCell ref="B36:E36"/>
    <mergeCell ref="G49:I49"/>
    <mergeCell ref="B29:C29"/>
    <mergeCell ref="B25:C25"/>
    <mergeCell ref="B27:C27"/>
    <mergeCell ref="B5:C5"/>
    <mergeCell ref="D5:E5"/>
    <mergeCell ref="B11:I11"/>
    <mergeCell ref="B9:C9"/>
    <mergeCell ref="G5:I5"/>
    <mergeCell ref="B7:C7"/>
    <mergeCell ref="D7:E7"/>
    <mergeCell ref="D9:E9"/>
    <mergeCell ref="G9:I9"/>
    <mergeCell ref="G8:I8"/>
    <mergeCell ref="D8:E8"/>
    <mergeCell ref="B8:C8"/>
    <mergeCell ref="B6:C6"/>
    <mergeCell ref="D6:E6"/>
    <mergeCell ref="G6:I6"/>
    <mergeCell ref="B2:D2"/>
    <mergeCell ref="E2:I2"/>
    <mergeCell ref="B4:C4"/>
    <mergeCell ref="D4:E4"/>
    <mergeCell ref="G4:I4"/>
  </mergeCells>
  <conditionalFormatting sqref="D15:G29">
    <cfRule type="cellIs" dxfId="49" priority="2" operator="lessThan">
      <formula>0.7</formula>
    </cfRule>
  </conditionalFormatting>
  <pageMargins left="0.7" right="0.7" top="0.75" bottom="0.75" header="0" footer="0"/>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23DDC-518B-4DCF-8DF3-2E7EA555689F}">
  <sheetPr>
    <tabColor theme="9" tint="-0.499984740745262"/>
    <pageSetUpPr fitToPage="1"/>
  </sheetPr>
  <dimension ref="B2:Q33"/>
  <sheetViews>
    <sheetView showGridLines="0" workbookViewId="0">
      <selection activeCell="B2" sqref="B2:D2"/>
    </sheetView>
  </sheetViews>
  <sheetFormatPr defaultColWidth="12.5703125" defaultRowHeight="15.75" customHeight="1" x14ac:dyDescent="0.2"/>
  <cols>
    <col min="1" max="1" width="3.42578125" customWidth="1"/>
    <col min="2" max="2" width="21.85546875" customWidth="1"/>
    <col min="3" max="3" width="13.42578125" customWidth="1"/>
    <col min="4" max="6" width="12.5703125" customWidth="1"/>
    <col min="7" max="7" width="15.28515625" customWidth="1"/>
    <col min="8" max="9" width="12.5703125" customWidth="1"/>
    <col min="10" max="10" width="17.42578125" bestFit="1" customWidth="1"/>
    <col min="11" max="11" width="11.140625" bestFit="1" customWidth="1"/>
    <col min="12" max="13" width="8.85546875" customWidth="1"/>
    <col min="14" max="23" width="7.5703125" customWidth="1"/>
  </cols>
  <sheetData>
    <row r="2" spans="2:11" ht="55.5" customHeight="1" x14ac:dyDescent="0.2">
      <c r="B2" s="749"/>
      <c r="C2" s="748"/>
      <c r="D2" s="747"/>
      <c r="E2" s="750" t="s">
        <v>192</v>
      </c>
      <c r="F2" s="748"/>
      <c r="G2" s="748"/>
      <c r="H2" s="748"/>
      <c r="I2" s="748"/>
      <c r="J2" s="747"/>
    </row>
    <row r="3" spans="2:11" ht="22.5" customHeight="1" x14ac:dyDescent="0.2">
      <c r="B3" s="191"/>
      <c r="C3" s="191"/>
      <c r="D3" s="191"/>
      <c r="E3" s="191"/>
      <c r="F3" s="191"/>
      <c r="G3" s="191"/>
      <c r="H3" s="191"/>
      <c r="I3" s="191"/>
      <c r="J3" s="190"/>
    </row>
    <row r="4" spans="2:11" ht="64.5" customHeight="1" x14ac:dyDescent="0.2">
      <c r="B4" s="561" t="s">
        <v>193</v>
      </c>
      <c r="C4" s="746"/>
      <c r="D4" s="636" t="str">
        <f>Índex!B18</f>
        <v>PE1.03_Ind05</v>
      </c>
      <c r="E4" s="747"/>
      <c r="F4" s="561" t="s">
        <v>194</v>
      </c>
      <c r="G4" s="746"/>
      <c r="H4" s="636" t="str">
        <f>Índex!C18</f>
        <v>Percentatge de titulacions coordinades que s’han presentat a AQU per ser verificades, en relació amb la totalitat de titulacions coordinades</v>
      </c>
      <c r="I4" s="748"/>
      <c r="J4" s="747"/>
    </row>
    <row r="5" spans="2:11" ht="50.25" customHeight="1" x14ac:dyDescent="0.2">
      <c r="B5" s="561" t="s">
        <v>195</v>
      </c>
      <c r="C5" s="746"/>
      <c r="D5" s="636" t="str">
        <f>Índex!F18</f>
        <v>&lt;25%</v>
      </c>
      <c r="E5" s="747"/>
      <c r="F5" s="561" t="s">
        <v>196</v>
      </c>
      <c r="G5" s="746"/>
      <c r="H5" s="636" t="s">
        <v>197</v>
      </c>
      <c r="I5" s="748"/>
      <c r="J5" s="747"/>
    </row>
    <row r="6" spans="2:11" ht="50.25" customHeight="1" x14ac:dyDescent="0.2">
      <c r="B6" s="561" t="s">
        <v>471</v>
      </c>
      <c r="C6" s="746"/>
      <c r="D6" s="636" t="str">
        <f>Índex!H18</f>
        <v>Objectiu de Qualitat. Qualitat dels programes formatius</v>
      </c>
      <c r="E6" s="747"/>
      <c r="F6" s="561" t="s">
        <v>462</v>
      </c>
      <c r="G6" s="746"/>
      <c r="H6" s="636"/>
      <c r="I6" s="748"/>
      <c r="J6" s="747"/>
    </row>
    <row r="7" spans="2:11" ht="22.5" customHeight="1" x14ac:dyDescent="0.2">
      <c r="B7" s="561" t="s">
        <v>463</v>
      </c>
      <c r="C7" s="746"/>
      <c r="D7" s="636"/>
      <c r="E7" s="747"/>
      <c r="F7" s="561" t="s">
        <v>464</v>
      </c>
      <c r="G7" s="746"/>
      <c r="H7" s="636" t="s">
        <v>198</v>
      </c>
      <c r="I7" s="748"/>
      <c r="J7" s="747"/>
    </row>
    <row r="8" spans="2:11" ht="36.75" customHeight="1" x14ac:dyDescent="0.2">
      <c r="B8" s="561" t="s">
        <v>465</v>
      </c>
      <c r="C8" s="746"/>
      <c r="D8" s="636" t="str">
        <f>Índex!D18</f>
        <v>Vicedegà d’Economia i Afers Acadèmics de Postgrau</v>
      </c>
      <c r="E8" s="747"/>
      <c r="F8" s="561" t="s">
        <v>472</v>
      </c>
      <c r="G8" s="746"/>
      <c r="H8" s="636" t="str">
        <f>Índex!E18</f>
        <v>Gestora de Qualitat</v>
      </c>
      <c r="I8" s="748"/>
      <c r="J8" s="747"/>
    </row>
    <row r="9" spans="2:11" ht="47.25" customHeight="1" x14ac:dyDescent="0.2">
      <c r="B9" s="561" t="s">
        <v>461</v>
      </c>
      <c r="C9" s="746"/>
      <c r="D9" s="636" t="str">
        <f>Índex!G18</f>
        <v>PE1.03. Creació,  Disseny i Extinció de Titulacions. Mapa de Titulacions</v>
      </c>
      <c r="E9" s="747"/>
      <c r="F9" s="561" t="s">
        <v>467</v>
      </c>
      <c r="G9" s="746"/>
      <c r="H9" s="636"/>
      <c r="I9" s="748"/>
      <c r="J9" s="747"/>
    </row>
    <row r="10" spans="2:11" ht="7.5" customHeight="1" x14ac:dyDescent="0.2">
      <c r="B10" s="190"/>
      <c r="C10" s="190"/>
      <c r="D10" s="190"/>
      <c r="E10" s="190"/>
      <c r="F10" s="190"/>
      <c r="G10" s="190"/>
      <c r="H10" s="190"/>
      <c r="I10" s="190"/>
      <c r="J10" s="190"/>
    </row>
    <row r="11" spans="2:11" ht="22.5" customHeight="1" x14ac:dyDescent="0.2">
      <c r="B11" s="561" t="s">
        <v>468</v>
      </c>
      <c r="C11" s="753"/>
      <c r="D11" s="753"/>
      <c r="E11" s="753"/>
      <c r="F11" s="753"/>
      <c r="G11" s="753"/>
      <c r="H11" s="753"/>
      <c r="I11" s="753"/>
      <c r="J11" s="746"/>
    </row>
    <row r="12" spans="2:11" ht="7.5" customHeight="1" x14ac:dyDescent="0.2">
      <c r="B12" s="190"/>
      <c r="C12" s="190"/>
      <c r="D12" s="190"/>
      <c r="E12" s="190"/>
      <c r="F12" s="190"/>
      <c r="G12" s="190"/>
      <c r="H12" s="190"/>
      <c r="I12" s="190"/>
      <c r="J12" s="190"/>
    </row>
    <row r="13" spans="2:11" ht="22.5" customHeight="1" x14ac:dyDescent="0.2">
      <c r="B13" s="192"/>
      <c r="C13" s="192"/>
      <c r="D13" s="192"/>
      <c r="E13" s="192"/>
      <c r="F13" s="192"/>
      <c r="G13" s="192"/>
      <c r="H13" s="192"/>
      <c r="I13" s="192"/>
      <c r="J13" s="192"/>
    </row>
    <row r="14" spans="2:11" s="156" customFormat="1" ht="22.5" customHeight="1" x14ac:dyDescent="0.2">
      <c r="B14" s="468"/>
      <c r="C14" s="468"/>
      <c r="D14" s="469" t="s">
        <v>200</v>
      </c>
      <c r="E14" s="469" t="s">
        <v>201</v>
      </c>
      <c r="F14" s="469" t="s">
        <v>202</v>
      </c>
      <c r="G14" s="469" t="s">
        <v>203</v>
      </c>
      <c r="H14" s="469" t="s">
        <v>204</v>
      </c>
      <c r="I14" s="470" t="s">
        <v>205</v>
      </c>
      <c r="J14" s="471" t="s">
        <v>256</v>
      </c>
      <c r="K14" s="471" t="s">
        <v>477</v>
      </c>
    </row>
    <row r="15" spans="2:11" s="156" customFormat="1" ht="23.25" customHeight="1" x14ac:dyDescent="0.2">
      <c r="B15" s="754" t="s">
        <v>579</v>
      </c>
      <c r="C15" s="755"/>
      <c r="D15" s="472">
        <v>1</v>
      </c>
      <c r="E15" s="472">
        <v>1</v>
      </c>
      <c r="F15" s="472">
        <v>1</v>
      </c>
      <c r="G15" s="472">
        <v>0</v>
      </c>
      <c r="H15" s="472">
        <v>3</v>
      </c>
      <c r="I15" s="472">
        <v>0</v>
      </c>
      <c r="J15" s="473">
        <v>3</v>
      </c>
      <c r="K15" s="473">
        <v>2</v>
      </c>
    </row>
    <row r="16" spans="2:11" s="156" customFormat="1" ht="42" customHeight="1" x14ac:dyDescent="0.2">
      <c r="B16" s="756" t="s">
        <v>257</v>
      </c>
      <c r="C16" s="757"/>
      <c r="D16" s="472">
        <v>15</v>
      </c>
      <c r="E16" s="472">
        <v>15</v>
      </c>
      <c r="F16" s="472">
        <v>15</v>
      </c>
      <c r="G16" s="472">
        <v>15</v>
      </c>
      <c r="H16" s="472">
        <v>15</v>
      </c>
      <c r="I16" s="472">
        <v>15</v>
      </c>
      <c r="J16" s="473">
        <v>15</v>
      </c>
      <c r="K16" s="473">
        <v>15</v>
      </c>
    </row>
    <row r="17" spans="2:17" s="156" customFormat="1" ht="40.5" customHeight="1" x14ac:dyDescent="0.2">
      <c r="B17" s="758" t="s">
        <v>258</v>
      </c>
      <c r="C17" s="759"/>
      <c r="D17" s="474" t="s">
        <v>213</v>
      </c>
      <c r="E17" s="474" t="s">
        <v>213</v>
      </c>
      <c r="F17" s="474">
        <f>F15/F16</f>
        <v>6.6666666666666666E-2</v>
      </c>
      <c r="G17" s="474">
        <f>(G15*10)/G16</f>
        <v>0</v>
      </c>
      <c r="H17" s="474">
        <f>(H15/H16)</f>
        <v>0.2</v>
      </c>
      <c r="I17" s="474">
        <f>(I15/I16)</f>
        <v>0</v>
      </c>
      <c r="J17" s="474">
        <f>(J15/J16)</f>
        <v>0.2</v>
      </c>
      <c r="K17" s="474">
        <f>(K15/K16)</f>
        <v>0.13333333333333333</v>
      </c>
    </row>
    <row r="18" spans="2:17" s="156" customFormat="1" ht="13.5" x14ac:dyDescent="0.2">
      <c r="B18" s="760" t="s">
        <v>259</v>
      </c>
      <c r="C18" s="761"/>
      <c r="D18" s="474">
        <v>0.25</v>
      </c>
      <c r="E18" s="474">
        <v>0.25</v>
      </c>
      <c r="F18" s="474">
        <v>0.25</v>
      </c>
      <c r="G18" s="474">
        <v>0.25</v>
      </c>
      <c r="H18" s="474">
        <v>0.25</v>
      </c>
      <c r="I18" s="474">
        <v>0.25</v>
      </c>
      <c r="J18" s="474">
        <v>0.25</v>
      </c>
      <c r="K18" s="474">
        <v>0.25</v>
      </c>
    </row>
    <row r="19" spans="2:17" s="156" customFormat="1" ht="22.5" customHeight="1" x14ac:dyDescent="0.2">
      <c r="B19" s="762" t="s">
        <v>215</v>
      </c>
      <c r="C19" s="763"/>
      <c r="D19" s="475"/>
      <c r="E19" s="475"/>
      <c r="F19" s="475" t="str">
        <f>IF(F17&lt;=F18,"100%",F17/F18)</f>
        <v>100%</v>
      </c>
      <c r="G19" s="475" t="str">
        <f>IF(G17&lt;=G18,"100%",G17/G18)</f>
        <v>100%</v>
      </c>
      <c r="H19" s="475" t="str">
        <f>IF(H17&lt;=H18,"100%",H17/H18)</f>
        <v>100%</v>
      </c>
      <c r="I19" s="475" t="str">
        <f>IF(I17&lt;=I18,"100%",I17/I18)</f>
        <v>100%</v>
      </c>
      <c r="J19" s="475" t="str">
        <f>IF(J17&lt;=J18,"100%",J18/J17)</f>
        <v>100%</v>
      </c>
      <c r="K19" s="475" t="str">
        <f>IF(K17&lt;=K18,"100%",K18/K17)</f>
        <v>100%</v>
      </c>
    </row>
    <row r="20" spans="2:17" ht="7.5" customHeight="1" x14ac:dyDescent="0.2">
      <c r="B20" s="8"/>
      <c r="C20" s="8"/>
      <c r="D20" s="8"/>
      <c r="E20" s="8"/>
      <c r="F20" s="8"/>
      <c r="G20" s="9"/>
      <c r="H20" s="9"/>
      <c r="I20" s="9"/>
      <c r="J20" s="9"/>
    </row>
    <row r="21" spans="2:17" ht="22.5" customHeight="1" x14ac:dyDescent="0.2">
      <c r="B21" s="567" t="s">
        <v>469</v>
      </c>
      <c r="C21" s="568"/>
      <c r="D21" s="568"/>
      <c r="E21" s="569"/>
      <c r="F21" s="8"/>
      <c r="G21" s="751" t="s">
        <v>155</v>
      </c>
      <c r="H21" s="752"/>
      <c r="I21" s="752"/>
      <c r="J21" s="752"/>
    </row>
    <row r="22" spans="2:17" ht="22.5" customHeight="1" x14ac:dyDescent="0.2">
      <c r="B22" s="8"/>
      <c r="C22" s="8"/>
      <c r="D22" s="8"/>
      <c r="E22" s="8"/>
      <c r="F22" s="8"/>
      <c r="G22" s="752"/>
      <c r="H22" s="574"/>
      <c r="I22" s="574"/>
      <c r="J22" s="752"/>
    </row>
    <row r="23" spans="2:17" ht="22.5" customHeight="1" x14ac:dyDescent="0.2">
      <c r="B23" s="8"/>
      <c r="C23" s="8"/>
      <c r="D23" s="8"/>
      <c r="E23" s="8"/>
      <c r="F23" s="8"/>
      <c r="G23" s="752"/>
      <c r="H23" s="574"/>
      <c r="I23" s="574"/>
      <c r="J23" s="752"/>
      <c r="O23" s="742" t="s">
        <v>470</v>
      </c>
      <c r="P23" s="742"/>
      <c r="Q23" s="742"/>
    </row>
    <row r="24" spans="2:17" ht="22.5" customHeight="1" x14ac:dyDescent="0.2">
      <c r="B24" s="8"/>
      <c r="C24" s="8"/>
      <c r="D24" s="8"/>
      <c r="E24" s="8"/>
      <c r="F24" s="8"/>
      <c r="G24" s="752"/>
      <c r="H24" s="574"/>
      <c r="I24" s="574"/>
      <c r="J24" s="752"/>
      <c r="O24" s="743"/>
      <c r="P24" s="743"/>
      <c r="Q24" s="743"/>
    </row>
    <row r="25" spans="2:17" ht="22.5" customHeight="1" x14ac:dyDescent="0.2">
      <c r="B25" s="8"/>
      <c r="C25" s="8"/>
      <c r="D25" s="8"/>
      <c r="E25" s="8"/>
      <c r="F25" s="8"/>
      <c r="G25" s="752"/>
      <c r="H25" s="574"/>
      <c r="I25" s="574"/>
      <c r="J25" s="752"/>
      <c r="O25" s="743"/>
      <c r="P25" s="743"/>
      <c r="Q25" s="743"/>
    </row>
    <row r="26" spans="2:17" ht="22.5" customHeight="1" x14ac:dyDescent="0.2">
      <c r="B26" s="8"/>
      <c r="C26" s="8"/>
      <c r="D26" s="8"/>
      <c r="E26" s="8"/>
      <c r="F26" s="8"/>
      <c r="G26" s="752"/>
      <c r="H26" s="574"/>
      <c r="I26" s="574"/>
      <c r="J26" s="752"/>
      <c r="O26" s="743"/>
      <c r="P26" s="743"/>
      <c r="Q26" s="743"/>
    </row>
    <row r="27" spans="2:17" ht="22.5" customHeight="1" x14ac:dyDescent="0.2">
      <c r="B27" s="8"/>
      <c r="C27" s="8"/>
      <c r="D27" s="8"/>
      <c r="E27" s="8"/>
      <c r="F27" s="8"/>
      <c r="G27" s="752"/>
      <c r="H27" s="574"/>
      <c r="I27" s="574"/>
      <c r="J27" s="752"/>
      <c r="O27" s="743"/>
      <c r="P27" s="743"/>
      <c r="Q27" s="743"/>
    </row>
    <row r="28" spans="2:17" ht="22.5" customHeight="1" x14ac:dyDescent="0.2">
      <c r="B28" s="8"/>
      <c r="C28" s="8"/>
      <c r="D28" s="8"/>
      <c r="E28" s="8"/>
      <c r="F28" s="8"/>
      <c r="G28" s="752"/>
      <c r="H28" s="574"/>
      <c r="I28" s="574"/>
      <c r="J28" s="752"/>
      <c r="O28" s="743"/>
      <c r="P28" s="743"/>
      <c r="Q28" s="743"/>
    </row>
    <row r="29" spans="2:17" ht="22.5" customHeight="1" x14ac:dyDescent="0.2">
      <c r="B29" s="8"/>
      <c r="C29" s="8"/>
      <c r="D29" s="8"/>
      <c r="E29" s="8"/>
      <c r="F29" s="8"/>
      <c r="G29" s="752"/>
      <c r="H29" s="752"/>
      <c r="I29" s="752"/>
      <c r="J29" s="752"/>
      <c r="O29" s="743"/>
      <c r="P29" s="743"/>
      <c r="Q29" s="743"/>
    </row>
    <row r="30" spans="2:17" ht="6" customHeight="1" x14ac:dyDescent="0.2">
      <c r="O30" s="743"/>
      <c r="P30" s="743"/>
      <c r="Q30" s="743"/>
    </row>
    <row r="31" spans="2:17" ht="19.5" customHeight="1" x14ac:dyDescent="0.2">
      <c r="H31" s="559" t="s">
        <v>155</v>
      </c>
      <c r="I31" s="560"/>
      <c r="J31" s="560"/>
      <c r="O31" s="743"/>
      <c r="P31" s="743"/>
      <c r="Q31" s="743"/>
    </row>
    <row r="32" spans="2:17" ht="15.75" customHeight="1" x14ac:dyDescent="0.2">
      <c r="O32" s="743"/>
      <c r="P32" s="743"/>
      <c r="Q32" s="743"/>
    </row>
    <row r="33" spans="15:17" ht="15.75" customHeight="1" x14ac:dyDescent="0.2">
      <c r="O33" s="743"/>
      <c r="P33" s="743"/>
      <c r="Q33" s="743"/>
    </row>
  </sheetData>
  <sheetProtection formatCells="0" formatColumns="0" formatRows="0" insertColumns="0" insertRows="0" insertHyperlinks="0" deleteColumns="0" deleteRows="0" pivotTables="0"/>
  <mergeCells count="37">
    <mergeCell ref="O24:Q33"/>
    <mergeCell ref="G21:J29"/>
    <mergeCell ref="H31:J31"/>
    <mergeCell ref="B11:J11"/>
    <mergeCell ref="B15:C15"/>
    <mergeCell ref="B21:E21"/>
    <mergeCell ref="B16:C16"/>
    <mergeCell ref="B17:C17"/>
    <mergeCell ref="B18:C18"/>
    <mergeCell ref="B19:C19"/>
    <mergeCell ref="H8:J8"/>
    <mergeCell ref="O23:Q23"/>
    <mergeCell ref="H7:J7"/>
    <mergeCell ref="B8:C8"/>
    <mergeCell ref="D8:E8"/>
    <mergeCell ref="F8:G8"/>
    <mergeCell ref="D7:E7"/>
    <mergeCell ref="F7:G7"/>
    <mergeCell ref="D9:E9"/>
    <mergeCell ref="F9:G9"/>
    <mergeCell ref="H9:J9"/>
    <mergeCell ref="B9:C9"/>
    <mergeCell ref="B2:D2"/>
    <mergeCell ref="E2:J2"/>
    <mergeCell ref="B4:C4"/>
    <mergeCell ref="D4:E4"/>
    <mergeCell ref="F4:G4"/>
    <mergeCell ref="H4:J4"/>
    <mergeCell ref="B5:C5"/>
    <mergeCell ref="D5:E5"/>
    <mergeCell ref="F5:G5"/>
    <mergeCell ref="H5:J5"/>
    <mergeCell ref="B7:C7"/>
    <mergeCell ref="H6:J6"/>
    <mergeCell ref="B6:C6"/>
    <mergeCell ref="D6:E6"/>
    <mergeCell ref="F6:G6"/>
  </mergeCells>
  <phoneticPr fontId="25" type="noConversion"/>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129AC-E510-4747-98D6-501C92F81B33}">
  <sheetPr>
    <tabColor theme="9" tint="-0.499984740745262"/>
    <pageSetUpPr fitToPage="1"/>
  </sheetPr>
  <dimension ref="B2:Q31"/>
  <sheetViews>
    <sheetView showGridLines="0" zoomScale="80" zoomScaleNormal="80" workbookViewId="0">
      <selection activeCell="B2" sqref="B2:D2"/>
    </sheetView>
  </sheetViews>
  <sheetFormatPr defaultColWidth="12.5703125" defaultRowHeight="15.75" customHeight="1" x14ac:dyDescent="0.2"/>
  <cols>
    <col min="1" max="1" width="3.42578125" customWidth="1"/>
    <col min="2" max="2" width="21.28515625" customWidth="1"/>
    <col min="3" max="3" width="16" customWidth="1"/>
    <col min="4" max="4" width="12.5703125" customWidth="1"/>
    <col min="5" max="5" width="21.28515625" customWidth="1"/>
    <col min="6" max="6" width="12.5703125" customWidth="1"/>
    <col min="7" max="7" width="20.7109375" customWidth="1"/>
    <col min="8" max="9" width="12.5703125" customWidth="1"/>
    <col min="10" max="10" width="17.42578125" bestFit="1" customWidth="1"/>
    <col min="11" max="13" width="8.85546875" customWidth="1"/>
    <col min="14" max="16" width="7.5703125" customWidth="1"/>
    <col min="17" max="17" width="13.140625" customWidth="1"/>
    <col min="18" max="23" width="7.5703125" customWidth="1"/>
  </cols>
  <sheetData>
    <row r="2" spans="2:10" ht="55.5" customHeight="1" x14ac:dyDescent="0.2">
      <c r="B2" s="749"/>
      <c r="C2" s="748"/>
      <c r="D2" s="747"/>
      <c r="E2" s="750" t="s">
        <v>192</v>
      </c>
      <c r="F2" s="748"/>
      <c r="G2" s="748"/>
      <c r="H2" s="748"/>
      <c r="I2" s="748"/>
      <c r="J2" s="747"/>
    </row>
    <row r="3" spans="2:10" ht="22.5" customHeight="1" x14ac:dyDescent="0.2">
      <c r="B3" s="191"/>
      <c r="C3" s="191"/>
      <c r="D3" s="191"/>
      <c r="E3" s="191"/>
      <c r="F3" s="191"/>
      <c r="G3" s="191"/>
      <c r="H3" s="191"/>
      <c r="I3" s="191"/>
      <c r="J3" s="190"/>
    </row>
    <row r="4" spans="2:10" ht="64.5" customHeight="1" x14ac:dyDescent="0.2">
      <c r="B4" s="561" t="s">
        <v>193</v>
      </c>
      <c r="C4" s="746"/>
      <c r="D4" s="636" t="str">
        <f>Índex!B19</f>
        <v>PE1.03_Ind06</v>
      </c>
      <c r="E4" s="747"/>
      <c r="F4" s="561" t="s">
        <v>194</v>
      </c>
      <c r="G4" s="746"/>
      <c r="H4" s="636" t="str">
        <f>Índex!C19</f>
        <v>Percentatge de titulacions extingides en comparació amb la totalitat de titulacions coordinades per la Facultat.</v>
      </c>
      <c r="I4" s="748"/>
      <c r="J4" s="747"/>
    </row>
    <row r="5" spans="2:10" ht="50.25" customHeight="1" x14ac:dyDescent="0.2">
      <c r="B5" s="561" t="s">
        <v>195</v>
      </c>
      <c r="C5" s="746"/>
      <c r="D5" s="636" t="str">
        <f>Índex!F19</f>
        <v>&lt;25%</v>
      </c>
      <c r="E5" s="747"/>
      <c r="F5" s="561" t="s">
        <v>196</v>
      </c>
      <c r="G5" s="746"/>
      <c r="H5" s="636" t="s">
        <v>197</v>
      </c>
      <c r="I5" s="748"/>
      <c r="J5" s="747"/>
    </row>
    <row r="6" spans="2:10" ht="50.25" customHeight="1" x14ac:dyDescent="0.2">
      <c r="B6" s="561" t="s">
        <v>471</v>
      </c>
      <c r="C6" s="746"/>
      <c r="D6" s="636" t="str">
        <f>Índex!H19</f>
        <v>Objectiu de Qualitat. Qualitat dels programes formatius</v>
      </c>
      <c r="E6" s="747"/>
      <c r="F6" s="561" t="s">
        <v>462</v>
      </c>
      <c r="G6" s="746"/>
      <c r="H6" s="636"/>
      <c r="I6" s="748"/>
      <c r="J6" s="747"/>
    </row>
    <row r="7" spans="2:10" ht="22.5" customHeight="1" x14ac:dyDescent="0.2">
      <c r="B7" s="561" t="s">
        <v>463</v>
      </c>
      <c r="C7" s="746"/>
      <c r="D7" s="636"/>
      <c r="E7" s="747"/>
      <c r="F7" s="561" t="s">
        <v>464</v>
      </c>
      <c r="G7" s="746"/>
      <c r="H7" s="636" t="s">
        <v>198</v>
      </c>
      <c r="I7" s="748"/>
      <c r="J7" s="747"/>
    </row>
    <row r="8" spans="2:10" ht="43.5" customHeight="1" x14ac:dyDescent="0.2">
      <c r="B8" s="561" t="s">
        <v>465</v>
      </c>
      <c r="C8" s="746"/>
      <c r="D8" s="636" t="str">
        <f>Índex!D19</f>
        <v>Vicedegà d’Economia i Afers Acadèmics de Postgrau</v>
      </c>
      <c r="E8" s="747"/>
      <c r="F8" s="561" t="s">
        <v>472</v>
      </c>
      <c r="G8" s="746"/>
      <c r="H8" s="636" t="str">
        <f>Índex!E19</f>
        <v>Gestor Acadèmic</v>
      </c>
      <c r="I8" s="748"/>
      <c r="J8" s="747"/>
    </row>
    <row r="9" spans="2:10" ht="37.5" customHeight="1" x14ac:dyDescent="0.2">
      <c r="B9" s="561" t="s">
        <v>461</v>
      </c>
      <c r="C9" s="746"/>
      <c r="D9" s="636" t="str">
        <f>Índex!G19</f>
        <v>PE1.03. Creació,  Disseny i Extinció de Titulacions. Mapa de Titulacions</v>
      </c>
      <c r="E9" s="747"/>
      <c r="F9" s="561" t="s">
        <v>467</v>
      </c>
      <c r="G9" s="746"/>
      <c r="H9" s="636"/>
      <c r="I9" s="748"/>
      <c r="J9" s="747"/>
    </row>
    <row r="10" spans="2:10" ht="7.5" customHeight="1" x14ac:dyDescent="0.2">
      <c r="B10" s="190"/>
      <c r="C10" s="190"/>
      <c r="D10" s="190"/>
      <c r="E10" s="190"/>
      <c r="F10" s="190"/>
      <c r="G10" s="190"/>
      <c r="H10" s="190"/>
      <c r="I10" s="190"/>
      <c r="J10" s="190"/>
    </row>
    <row r="11" spans="2:10" ht="22.5" customHeight="1" x14ac:dyDescent="0.2">
      <c r="B11" s="561" t="s">
        <v>468</v>
      </c>
      <c r="C11" s="753"/>
      <c r="D11" s="753"/>
      <c r="E11" s="753"/>
      <c r="F11" s="753"/>
      <c r="G11" s="753"/>
      <c r="H11" s="753"/>
      <c r="I11" s="753"/>
      <c r="J11" s="746"/>
    </row>
    <row r="12" spans="2:10" ht="7.5" customHeight="1" x14ac:dyDescent="0.2">
      <c r="B12" s="190"/>
      <c r="C12" s="190"/>
      <c r="D12" s="190"/>
      <c r="E12" s="190"/>
      <c r="F12" s="190"/>
      <c r="G12" s="190"/>
      <c r="H12" s="190"/>
      <c r="I12" s="190"/>
      <c r="J12" s="190"/>
    </row>
    <row r="13" spans="2:10" ht="22.5" customHeight="1" x14ac:dyDescent="0.2">
      <c r="B13" s="192"/>
      <c r="C13" s="192"/>
      <c r="D13" s="192"/>
      <c r="E13" s="192"/>
      <c r="F13" s="192"/>
      <c r="G13" s="192"/>
      <c r="H13" s="192"/>
      <c r="I13" s="192"/>
      <c r="J13" s="192"/>
    </row>
    <row r="14" spans="2:10" ht="22.5" customHeight="1" x14ac:dyDescent="0.2">
      <c r="B14" s="192"/>
      <c r="C14" s="192"/>
      <c r="D14" s="250" t="s">
        <v>200</v>
      </c>
      <c r="E14" s="250" t="s">
        <v>201</v>
      </c>
      <c r="F14" s="250" t="s">
        <v>202</v>
      </c>
      <c r="G14" s="250" t="s">
        <v>203</v>
      </c>
      <c r="H14" s="250" t="s">
        <v>204</v>
      </c>
      <c r="I14" s="250" t="s">
        <v>205</v>
      </c>
      <c r="J14" s="250" t="s">
        <v>256</v>
      </c>
    </row>
    <row r="15" spans="2:10" ht="23.25" customHeight="1" x14ac:dyDescent="0.2">
      <c r="B15" s="764" t="s">
        <v>579</v>
      </c>
      <c r="C15" s="765"/>
      <c r="D15" s="172" t="s">
        <v>213</v>
      </c>
      <c r="E15" s="172" t="s">
        <v>213</v>
      </c>
      <c r="F15" s="171" t="s">
        <v>214</v>
      </c>
      <c r="G15" s="171">
        <v>0</v>
      </c>
      <c r="H15" s="171">
        <v>0</v>
      </c>
      <c r="I15" s="171">
        <v>0</v>
      </c>
      <c r="J15" s="414">
        <v>3</v>
      </c>
    </row>
    <row r="16" spans="2:10" ht="27.75" customHeight="1" x14ac:dyDescent="0.2">
      <c r="B16" s="766" t="s">
        <v>257</v>
      </c>
      <c r="C16" s="767"/>
      <c r="D16" s="171">
        <v>15</v>
      </c>
      <c r="E16" s="171">
        <v>15</v>
      </c>
      <c r="F16" s="171">
        <v>15</v>
      </c>
      <c r="G16" s="171">
        <v>15</v>
      </c>
      <c r="H16" s="171">
        <v>15</v>
      </c>
      <c r="I16" s="171">
        <v>15</v>
      </c>
      <c r="J16" s="414">
        <v>15</v>
      </c>
    </row>
    <row r="17" spans="2:17" ht="47.25" customHeight="1" x14ac:dyDescent="0.2">
      <c r="B17" s="766" t="s">
        <v>258</v>
      </c>
      <c r="C17" s="767"/>
      <c r="D17" s="306" t="s">
        <v>213</v>
      </c>
      <c r="E17" s="306" t="s">
        <v>213</v>
      </c>
      <c r="F17" s="306" t="s">
        <v>214</v>
      </c>
      <c r="G17" s="306">
        <f>(G15*10)/G16</f>
        <v>0</v>
      </c>
      <c r="H17" s="306">
        <f>(H15/H16)</f>
        <v>0</v>
      </c>
      <c r="I17" s="306">
        <f>(I15/I16)</f>
        <v>0</v>
      </c>
      <c r="J17" s="306">
        <f>(J15/J16)</f>
        <v>0.2</v>
      </c>
      <c r="O17" s="742" t="s">
        <v>470</v>
      </c>
      <c r="P17" s="742"/>
      <c r="Q17" s="742"/>
    </row>
    <row r="18" spans="2:17" ht="13.5" x14ac:dyDescent="0.2">
      <c r="B18" s="766" t="s">
        <v>261</v>
      </c>
      <c r="C18" s="767"/>
      <c r="D18" s="306">
        <v>0.25</v>
      </c>
      <c r="E18" s="306">
        <v>0.25</v>
      </c>
      <c r="F18" s="306">
        <v>0.25</v>
      </c>
      <c r="G18" s="306">
        <v>0.25</v>
      </c>
      <c r="H18" s="306">
        <v>0.25</v>
      </c>
      <c r="I18" s="306">
        <v>0.25</v>
      </c>
      <c r="J18" s="306">
        <v>0.25</v>
      </c>
      <c r="O18" s="743"/>
      <c r="P18" s="743"/>
      <c r="Q18" s="743"/>
    </row>
    <row r="19" spans="2:17" ht="22.5" customHeight="1" x14ac:dyDescent="0.2">
      <c r="B19" s="766" t="s">
        <v>215</v>
      </c>
      <c r="C19" s="767"/>
      <c r="D19" s="54" t="s">
        <v>213</v>
      </c>
      <c r="E19" s="54" t="s">
        <v>213</v>
      </c>
      <c r="F19" s="306" t="s">
        <v>214</v>
      </c>
      <c r="G19" s="306" t="str">
        <f>IF(G17&lt;=G18,"100%",G18/G17)</f>
        <v>100%</v>
      </c>
      <c r="H19" s="306" t="str">
        <f>IF(H17&lt;=H18,"100%",H18/H17)</f>
        <v>100%</v>
      </c>
      <c r="I19" s="306" t="str">
        <f>IF(I17&lt;=I18,"100%",I18/I17)</f>
        <v>100%</v>
      </c>
      <c r="J19" s="306" t="str">
        <f>IF(J17&lt;=J18,"100%",J18/J17)</f>
        <v>100%</v>
      </c>
      <c r="O19" s="743"/>
      <c r="P19" s="743"/>
      <c r="Q19" s="743"/>
    </row>
    <row r="20" spans="2:17" ht="7.5" customHeight="1" x14ac:dyDescent="0.2">
      <c r="B20" s="8"/>
      <c r="C20" s="8"/>
      <c r="D20" s="8"/>
      <c r="E20" s="8"/>
      <c r="F20" s="8"/>
      <c r="G20" s="9"/>
      <c r="H20" s="9"/>
      <c r="I20" s="9"/>
      <c r="J20" s="9"/>
      <c r="O20" s="743"/>
      <c r="P20" s="743"/>
      <c r="Q20" s="743"/>
    </row>
    <row r="21" spans="2:17" ht="22.5" customHeight="1" x14ac:dyDescent="0.2">
      <c r="B21" s="567" t="s">
        <v>469</v>
      </c>
      <c r="C21" s="568"/>
      <c r="D21" s="568"/>
      <c r="E21" s="569"/>
      <c r="F21" s="8"/>
      <c r="G21" s="751" t="s">
        <v>155</v>
      </c>
      <c r="H21" s="752"/>
      <c r="I21" s="752"/>
      <c r="J21" s="752"/>
      <c r="O21" s="743"/>
      <c r="P21" s="743"/>
      <c r="Q21" s="743"/>
    </row>
    <row r="22" spans="2:17" ht="22.5" customHeight="1" x14ac:dyDescent="0.2">
      <c r="B22" s="8"/>
      <c r="C22" s="8"/>
      <c r="D22" s="8"/>
      <c r="E22" s="8"/>
      <c r="F22" s="8"/>
      <c r="G22" s="752"/>
      <c r="H22" s="574"/>
      <c r="I22" s="574"/>
      <c r="J22" s="752"/>
      <c r="O22" s="743"/>
      <c r="P22" s="743"/>
      <c r="Q22" s="743"/>
    </row>
    <row r="23" spans="2:17" ht="22.5" customHeight="1" x14ac:dyDescent="0.2">
      <c r="B23" s="8"/>
      <c r="C23" s="8"/>
      <c r="D23" s="8"/>
      <c r="E23" s="8"/>
      <c r="F23" s="8"/>
      <c r="G23" s="752"/>
      <c r="H23" s="574"/>
      <c r="I23" s="574"/>
      <c r="J23" s="752"/>
      <c r="O23" s="743"/>
      <c r="P23" s="743"/>
      <c r="Q23" s="743"/>
    </row>
    <row r="24" spans="2:17" ht="22.5" customHeight="1" x14ac:dyDescent="0.2">
      <c r="B24" s="8"/>
      <c r="C24" s="8"/>
      <c r="D24" s="8"/>
      <c r="E24" s="8"/>
      <c r="F24" s="8"/>
      <c r="G24" s="752"/>
      <c r="H24" s="574"/>
      <c r="I24" s="574"/>
      <c r="J24" s="752"/>
      <c r="O24" s="743"/>
      <c r="P24" s="743"/>
      <c r="Q24" s="743"/>
    </row>
    <row r="25" spans="2:17" ht="22.5" customHeight="1" x14ac:dyDescent="0.2">
      <c r="B25" s="8"/>
      <c r="C25" s="8"/>
      <c r="D25" s="8"/>
      <c r="E25" s="8"/>
      <c r="F25" s="8"/>
      <c r="G25" s="752"/>
      <c r="H25" s="574"/>
      <c r="I25" s="574"/>
      <c r="J25" s="752"/>
      <c r="O25" s="743"/>
      <c r="P25" s="743"/>
      <c r="Q25" s="743"/>
    </row>
    <row r="26" spans="2:17" ht="22.5" customHeight="1" x14ac:dyDescent="0.2">
      <c r="B26" s="8"/>
      <c r="C26" s="8"/>
      <c r="D26" s="8"/>
      <c r="E26" s="8"/>
      <c r="F26" s="8"/>
      <c r="G26" s="752"/>
      <c r="H26" s="574"/>
      <c r="I26" s="574"/>
      <c r="J26" s="752"/>
      <c r="O26" s="743"/>
      <c r="P26" s="743"/>
      <c r="Q26" s="743"/>
    </row>
    <row r="27" spans="2:17" ht="22.5" customHeight="1" x14ac:dyDescent="0.2">
      <c r="B27" s="8"/>
      <c r="C27" s="8"/>
      <c r="D27" s="8"/>
      <c r="E27" s="8"/>
      <c r="F27" s="8"/>
      <c r="G27" s="752"/>
      <c r="H27" s="574"/>
      <c r="I27" s="574"/>
      <c r="J27" s="752"/>
      <c r="O27" s="743"/>
      <c r="P27" s="743"/>
      <c r="Q27" s="743"/>
    </row>
    <row r="28" spans="2:17" ht="22.5" customHeight="1" x14ac:dyDescent="0.2">
      <c r="B28" s="8"/>
      <c r="C28" s="8"/>
      <c r="D28" s="8"/>
      <c r="E28" s="8"/>
      <c r="F28" s="8"/>
      <c r="G28" s="752"/>
      <c r="H28" s="574"/>
      <c r="I28" s="574"/>
      <c r="J28" s="752"/>
    </row>
    <row r="29" spans="2:17" ht="22.5" customHeight="1" x14ac:dyDescent="0.2">
      <c r="B29" s="8"/>
      <c r="C29" s="8"/>
      <c r="D29" s="8"/>
      <c r="E29" s="8"/>
      <c r="F29" s="8"/>
      <c r="G29" s="752"/>
      <c r="H29" s="752"/>
      <c r="I29" s="752"/>
      <c r="J29" s="752"/>
    </row>
    <row r="30" spans="2:17" ht="6" customHeight="1" x14ac:dyDescent="0.2"/>
    <row r="31" spans="2:17" ht="19.5" customHeight="1" x14ac:dyDescent="0.2">
      <c r="H31" s="559" t="s">
        <v>155</v>
      </c>
      <c r="I31" s="560"/>
      <c r="J31" s="560"/>
    </row>
  </sheetData>
  <sheetProtection formatCells="0" formatColumns="0" formatRows="0" insertColumns="0" insertRows="0" insertHyperlinks="0" deleteColumns="0" deleteRows="0" pivotTables="0"/>
  <mergeCells count="37">
    <mergeCell ref="O17:Q17"/>
    <mergeCell ref="O18:Q27"/>
    <mergeCell ref="B16:C16"/>
    <mergeCell ref="B17:C17"/>
    <mergeCell ref="B18:C18"/>
    <mergeCell ref="B19:C19"/>
    <mergeCell ref="B8:C8"/>
    <mergeCell ref="D8:E8"/>
    <mergeCell ref="F8:G8"/>
    <mergeCell ref="H8:J8"/>
    <mergeCell ref="D9:E9"/>
    <mergeCell ref="F9:G9"/>
    <mergeCell ref="H9:J9"/>
    <mergeCell ref="H31:J31"/>
    <mergeCell ref="B9:C9"/>
    <mergeCell ref="B11:J11"/>
    <mergeCell ref="B15:C15"/>
    <mergeCell ref="B21:E21"/>
    <mergeCell ref="G21:J29"/>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pageMargins left="0.7" right="0.7" top="0.75" bottom="0.75" header="0" footer="0"/>
  <pageSetup paperSize="9" scale="4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A37AF-928A-4F19-BCED-3441CC914C45}">
  <sheetPr>
    <tabColor theme="9" tint="-0.499984740745262"/>
    <pageSetUpPr fitToPage="1"/>
  </sheetPr>
  <dimension ref="B2:O34"/>
  <sheetViews>
    <sheetView showGridLines="0" workbookViewId="0">
      <selection activeCell="B2" sqref="B2:D2"/>
    </sheetView>
  </sheetViews>
  <sheetFormatPr defaultColWidth="12.5703125" defaultRowHeight="15.75" customHeight="1" x14ac:dyDescent="0.2"/>
  <cols>
    <col min="1" max="1" width="3.42578125" customWidth="1"/>
    <col min="2" max="2" width="26.28515625" customWidth="1"/>
    <col min="3" max="3" width="12.28515625" customWidth="1"/>
    <col min="4" max="4" width="12.5703125" customWidth="1"/>
    <col min="5" max="5" width="15" customWidth="1"/>
    <col min="6" max="6" width="12.5703125" customWidth="1"/>
    <col min="7" max="7" width="15.28515625" customWidth="1"/>
    <col min="8" max="9" width="12.5703125" customWidth="1"/>
    <col min="10" max="10" width="17.42578125" bestFit="1" customWidth="1"/>
    <col min="11" max="13" width="8.85546875" customWidth="1"/>
    <col min="14" max="23" width="7.5703125" customWidth="1"/>
  </cols>
  <sheetData>
    <row r="2" spans="2:10" ht="55.5" customHeight="1" x14ac:dyDescent="0.2">
      <c r="B2" s="749"/>
      <c r="C2" s="748"/>
      <c r="D2" s="747"/>
      <c r="E2" s="750" t="s">
        <v>192</v>
      </c>
      <c r="F2" s="748"/>
      <c r="G2" s="748"/>
      <c r="H2" s="748"/>
      <c r="I2" s="748"/>
      <c r="J2" s="747"/>
    </row>
    <row r="3" spans="2:10" ht="22.5" customHeight="1" x14ac:dyDescent="0.2">
      <c r="B3" s="191"/>
      <c r="C3" s="191"/>
      <c r="D3" s="191"/>
      <c r="E3" s="191"/>
      <c r="F3" s="191"/>
      <c r="G3" s="191"/>
      <c r="H3" s="191"/>
      <c r="I3" s="191"/>
      <c r="J3" s="190"/>
    </row>
    <row r="4" spans="2:10" ht="64.5" customHeight="1" x14ac:dyDescent="0.2">
      <c r="B4" s="561" t="s">
        <v>193</v>
      </c>
      <c r="C4" s="746"/>
      <c r="D4" s="636" t="str">
        <f>Índex!B20</f>
        <v>PE1.03_Ind07</v>
      </c>
      <c r="E4" s="747"/>
      <c r="F4" s="561" t="s">
        <v>194</v>
      </c>
      <c r="G4" s="746"/>
      <c r="H4" s="636" t="str">
        <f>Índex!C20</f>
        <v>Percentatge de titulacions híbrides coordinades.</v>
      </c>
      <c r="I4" s="748"/>
      <c r="J4" s="747"/>
    </row>
    <row r="5" spans="2:10" ht="50.25" customHeight="1" x14ac:dyDescent="0.2">
      <c r="B5" s="561" t="s">
        <v>195</v>
      </c>
      <c r="C5" s="746"/>
      <c r="D5" s="636" t="str">
        <f>Índex!F20</f>
        <v>&lt;10%</v>
      </c>
      <c r="E5" s="747"/>
      <c r="F5" s="561" t="s">
        <v>196</v>
      </c>
      <c r="G5" s="746"/>
      <c r="H5" s="636" t="s">
        <v>197</v>
      </c>
      <c r="I5" s="748"/>
      <c r="J5" s="747"/>
    </row>
    <row r="6" spans="2:10" ht="50.25" customHeight="1" x14ac:dyDescent="0.2">
      <c r="B6" s="561" t="s">
        <v>471</v>
      </c>
      <c r="C6" s="746"/>
      <c r="D6" s="636" t="str">
        <f>Índex!H20</f>
        <v>Objectiu de Qualitat. Qualitat dels programes formatius</v>
      </c>
      <c r="E6" s="747"/>
      <c r="F6" s="561" t="s">
        <v>462</v>
      </c>
      <c r="G6" s="746"/>
      <c r="H6" s="636"/>
      <c r="I6" s="748"/>
      <c r="J6" s="747"/>
    </row>
    <row r="7" spans="2:10" ht="22.5" customHeight="1" x14ac:dyDescent="0.2">
      <c r="B7" s="561" t="s">
        <v>463</v>
      </c>
      <c r="C7" s="746"/>
      <c r="D7" s="636"/>
      <c r="E7" s="747"/>
      <c r="F7" s="561" t="s">
        <v>464</v>
      </c>
      <c r="G7" s="746"/>
      <c r="H7" s="636" t="s">
        <v>198</v>
      </c>
      <c r="I7" s="748"/>
      <c r="J7" s="747"/>
    </row>
    <row r="8" spans="2:10" ht="22.5" customHeight="1" x14ac:dyDescent="0.2">
      <c r="B8" s="561" t="s">
        <v>465</v>
      </c>
      <c r="C8" s="746"/>
      <c r="D8" s="636" t="str">
        <f>Índex!D20</f>
        <v>Vicedegà d’Economia i Afers Acadèmics de Postgrau</v>
      </c>
      <c r="E8" s="747"/>
      <c r="F8" s="561" t="s">
        <v>472</v>
      </c>
      <c r="G8" s="746"/>
      <c r="H8" s="636" t="str">
        <f>Índex!E20</f>
        <v>Gestora de Qualitat</v>
      </c>
      <c r="I8" s="748"/>
      <c r="J8" s="747"/>
    </row>
    <row r="9" spans="2:10" ht="38.25" customHeight="1" x14ac:dyDescent="0.2">
      <c r="B9" s="561" t="s">
        <v>461</v>
      </c>
      <c r="C9" s="746"/>
      <c r="D9" s="636" t="str">
        <f>Índex!G20</f>
        <v>PE1.03. Creació,  Disseny i Extinció de Titulacions. Mapa de Titulacions</v>
      </c>
      <c r="E9" s="747"/>
      <c r="F9" s="561" t="s">
        <v>467</v>
      </c>
      <c r="G9" s="746"/>
      <c r="H9" s="636"/>
      <c r="I9" s="748"/>
      <c r="J9" s="747"/>
    </row>
    <row r="10" spans="2:10" ht="7.5" customHeight="1" x14ac:dyDescent="0.2">
      <c r="B10" s="190"/>
      <c r="C10" s="190"/>
      <c r="D10" s="190"/>
      <c r="E10" s="190"/>
      <c r="F10" s="190"/>
      <c r="G10" s="190"/>
      <c r="H10" s="190"/>
      <c r="I10" s="190"/>
      <c r="J10" s="190"/>
    </row>
    <row r="11" spans="2:10" ht="22.5" customHeight="1" x14ac:dyDescent="0.2">
      <c r="B11" s="561" t="s">
        <v>468</v>
      </c>
      <c r="C11" s="753"/>
      <c r="D11" s="753"/>
      <c r="E11" s="753"/>
      <c r="F11" s="753"/>
      <c r="G11" s="753"/>
      <c r="H11" s="753"/>
      <c r="I11" s="753"/>
      <c r="J11" s="746"/>
    </row>
    <row r="12" spans="2:10" ht="7.5" customHeight="1" x14ac:dyDescent="0.2">
      <c r="B12" s="190"/>
      <c r="C12" s="190"/>
      <c r="D12" s="190"/>
      <c r="E12" s="190"/>
      <c r="F12" s="190"/>
      <c r="G12" s="190"/>
      <c r="H12" s="190"/>
      <c r="I12" s="190"/>
      <c r="J12" s="190"/>
    </row>
    <row r="13" spans="2:10" ht="22.5" customHeight="1" x14ac:dyDescent="0.2">
      <c r="B13" s="192"/>
      <c r="C13" s="192"/>
      <c r="D13" s="192"/>
      <c r="E13" s="192"/>
      <c r="F13" s="192"/>
      <c r="G13" s="192"/>
      <c r="H13" s="192"/>
      <c r="I13" s="192"/>
      <c r="J13" s="192"/>
    </row>
    <row r="14" spans="2:10" ht="22.5" customHeight="1" x14ac:dyDescent="0.2">
      <c r="B14" s="192"/>
      <c r="C14" s="192"/>
      <c r="D14" s="247" t="s">
        <v>200</v>
      </c>
      <c r="E14" s="247" t="s">
        <v>201</v>
      </c>
      <c r="F14" s="247" t="s">
        <v>202</v>
      </c>
      <c r="G14" s="247" t="s">
        <v>203</v>
      </c>
      <c r="H14" s="248" t="s">
        <v>204</v>
      </c>
      <c r="I14" s="250" t="s">
        <v>205</v>
      </c>
      <c r="J14" s="250" t="s">
        <v>256</v>
      </c>
    </row>
    <row r="15" spans="2:10" ht="23.25" customHeight="1" x14ac:dyDescent="0.2">
      <c r="B15" s="771" t="s">
        <v>206</v>
      </c>
      <c r="C15" s="772"/>
      <c r="D15" s="172" t="s">
        <v>213</v>
      </c>
      <c r="E15" s="172" t="s">
        <v>213</v>
      </c>
      <c r="F15" s="171" t="s">
        <v>214</v>
      </c>
      <c r="G15" s="171">
        <v>0</v>
      </c>
      <c r="H15" s="249">
        <v>0</v>
      </c>
      <c r="I15" s="171">
        <v>1</v>
      </c>
      <c r="J15" s="414">
        <v>1</v>
      </c>
    </row>
    <row r="16" spans="2:10" ht="27.75" customHeight="1" x14ac:dyDescent="0.2">
      <c r="B16" s="769" t="s">
        <v>257</v>
      </c>
      <c r="C16" s="770"/>
      <c r="D16" s="171">
        <v>15</v>
      </c>
      <c r="E16" s="171">
        <v>15</v>
      </c>
      <c r="F16" s="171">
        <v>15</v>
      </c>
      <c r="G16" s="171">
        <v>15</v>
      </c>
      <c r="H16" s="249">
        <v>15</v>
      </c>
      <c r="I16" s="171">
        <v>15</v>
      </c>
      <c r="J16" s="414">
        <v>15</v>
      </c>
    </row>
    <row r="17" spans="2:15" ht="41.25" customHeight="1" x14ac:dyDescent="0.2">
      <c r="B17" s="766" t="s">
        <v>258</v>
      </c>
      <c r="C17" s="768"/>
      <c r="D17" s="306" t="s">
        <v>213</v>
      </c>
      <c r="E17" s="306" t="s">
        <v>213</v>
      </c>
      <c r="F17" s="306" t="s">
        <v>214</v>
      </c>
      <c r="G17" s="306">
        <f>(G15*10)/G16</f>
        <v>0</v>
      </c>
      <c r="H17" s="307">
        <f>(H15/H16)</f>
        <v>0</v>
      </c>
      <c r="I17" s="306">
        <f>(I15/I16)</f>
        <v>6.6666666666666666E-2</v>
      </c>
      <c r="J17" s="306">
        <f>(J15/J16)</f>
        <v>6.6666666666666666E-2</v>
      </c>
    </row>
    <row r="18" spans="2:15" ht="13.5" x14ac:dyDescent="0.2">
      <c r="B18" s="766" t="s">
        <v>5</v>
      </c>
      <c r="C18" s="768"/>
      <c r="D18" s="306">
        <v>0.1</v>
      </c>
      <c r="E18" s="306">
        <v>0.1</v>
      </c>
      <c r="F18" s="306">
        <v>0.1</v>
      </c>
      <c r="G18" s="306">
        <v>0.1</v>
      </c>
      <c r="H18" s="306">
        <v>0.1</v>
      </c>
      <c r="I18" s="306">
        <v>0.1</v>
      </c>
      <c r="J18" s="306">
        <v>0.1</v>
      </c>
    </row>
    <row r="19" spans="2:15" ht="22.5" customHeight="1" x14ac:dyDescent="0.2">
      <c r="B19" s="766" t="s">
        <v>215</v>
      </c>
      <c r="C19" s="768"/>
      <c r="D19" s="54" t="s">
        <v>213</v>
      </c>
      <c r="E19" s="54" t="s">
        <v>213</v>
      </c>
      <c r="F19" s="306" t="s">
        <v>214</v>
      </c>
      <c r="G19" s="306" t="str">
        <f>IF(G17&lt;=G18,"100%",G18/G17)</f>
        <v>100%</v>
      </c>
      <c r="H19" s="306" t="str">
        <f>IF(H17&lt;=H18,"100%",H18/H17)</f>
        <v>100%</v>
      </c>
      <c r="I19" s="306" t="str">
        <f>IF(I17&lt;=I18,"100%",I18/I17)</f>
        <v>100%</v>
      </c>
      <c r="J19" s="306" t="str">
        <f>IF(J17&lt;=J18,"100%",J18/J17)</f>
        <v>100%</v>
      </c>
    </row>
    <row r="20" spans="2:15" ht="7.5" customHeight="1" x14ac:dyDescent="0.2">
      <c r="B20" s="8"/>
      <c r="C20" s="8"/>
      <c r="D20" s="8"/>
      <c r="E20" s="8"/>
      <c r="F20" s="8"/>
      <c r="G20" s="9"/>
      <c r="H20" s="9"/>
      <c r="I20" s="9"/>
      <c r="J20" s="9"/>
    </row>
    <row r="21" spans="2:15" ht="7.5" customHeight="1" x14ac:dyDescent="0.2">
      <c r="B21" s="8"/>
      <c r="C21" s="8"/>
      <c r="D21" s="8"/>
      <c r="E21" s="8"/>
      <c r="F21" s="8"/>
      <c r="G21" s="9"/>
      <c r="H21" s="9"/>
      <c r="I21" s="9"/>
      <c r="J21" s="9"/>
    </row>
    <row r="22" spans="2:15" ht="22.5" customHeight="1" x14ac:dyDescent="0.2">
      <c r="B22" s="567" t="s">
        <v>469</v>
      </c>
      <c r="C22" s="568"/>
      <c r="D22" s="568"/>
      <c r="E22" s="569"/>
      <c r="F22" s="8"/>
      <c r="G22" s="751" t="s">
        <v>155</v>
      </c>
      <c r="H22" s="752"/>
      <c r="I22" s="752"/>
      <c r="J22" s="752"/>
    </row>
    <row r="23" spans="2:15" ht="22.5" customHeight="1" x14ac:dyDescent="0.2">
      <c r="B23" s="8"/>
      <c r="C23" s="8"/>
      <c r="D23" s="8"/>
      <c r="E23" s="8"/>
      <c r="F23" s="8"/>
      <c r="G23" s="752"/>
      <c r="H23" s="574"/>
      <c r="I23" s="574"/>
      <c r="J23" s="752"/>
    </row>
    <row r="24" spans="2:15" ht="22.5" customHeight="1" x14ac:dyDescent="0.2">
      <c r="B24" s="8"/>
      <c r="C24" s="8"/>
      <c r="D24" s="8"/>
      <c r="E24" s="8"/>
      <c r="F24" s="8"/>
      <c r="G24" s="752"/>
      <c r="H24" s="574"/>
      <c r="I24" s="574"/>
      <c r="J24" s="752"/>
      <c r="M24" s="742" t="s">
        <v>470</v>
      </c>
      <c r="N24" s="742"/>
      <c r="O24" s="742"/>
    </row>
    <row r="25" spans="2:15" ht="22.5" customHeight="1" x14ac:dyDescent="0.2">
      <c r="B25" s="8"/>
      <c r="C25" s="8"/>
      <c r="D25" s="8"/>
      <c r="E25" s="8"/>
      <c r="F25" s="8"/>
      <c r="G25" s="752"/>
      <c r="H25" s="574"/>
      <c r="I25" s="574"/>
      <c r="J25" s="752"/>
      <c r="M25" s="743"/>
      <c r="N25" s="743"/>
      <c r="O25" s="743"/>
    </row>
    <row r="26" spans="2:15" ht="22.5" customHeight="1" x14ac:dyDescent="0.2">
      <c r="B26" s="8"/>
      <c r="C26" s="8"/>
      <c r="D26" s="8"/>
      <c r="E26" s="8"/>
      <c r="F26" s="8"/>
      <c r="G26" s="752"/>
      <c r="H26" s="574"/>
      <c r="I26" s="574"/>
      <c r="J26" s="752"/>
      <c r="M26" s="743"/>
      <c r="N26" s="743"/>
      <c r="O26" s="743"/>
    </row>
    <row r="27" spans="2:15" ht="22.5" customHeight="1" x14ac:dyDescent="0.2">
      <c r="B27" s="8"/>
      <c r="C27" s="8"/>
      <c r="D27" s="8"/>
      <c r="E27" s="8"/>
      <c r="F27" s="8"/>
      <c r="G27" s="752"/>
      <c r="H27" s="574"/>
      <c r="I27" s="574"/>
      <c r="J27" s="752"/>
      <c r="M27" s="743"/>
      <c r="N27" s="743"/>
      <c r="O27" s="743"/>
    </row>
    <row r="28" spans="2:15" ht="22.5" customHeight="1" x14ac:dyDescent="0.2">
      <c r="B28" s="8"/>
      <c r="C28" s="8"/>
      <c r="D28" s="8"/>
      <c r="E28" s="8"/>
      <c r="F28" s="8"/>
      <c r="G28" s="752"/>
      <c r="H28" s="574"/>
      <c r="I28" s="574"/>
      <c r="J28" s="752"/>
      <c r="M28" s="743"/>
      <c r="N28" s="743"/>
      <c r="O28" s="743"/>
    </row>
    <row r="29" spans="2:15" ht="22.5" customHeight="1" x14ac:dyDescent="0.2">
      <c r="B29" s="8"/>
      <c r="C29" s="8"/>
      <c r="D29" s="8"/>
      <c r="E29" s="8"/>
      <c r="F29" s="8"/>
      <c r="G29" s="752"/>
      <c r="H29" s="574"/>
      <c r="I29" s="574"/>
      <c r="J29" s="752"/>
      <c r="M29" s="743"/>
      <c r="N29" s="743"/>
      <c r="O29" s="743"/>
    </row>
    <row r="30" spans="2:15" ht="22.5" customHeight="1" x14ac:dyDescent="0.2">
      <c r="B30" s="8"/>
      <c r="C30" s="8"/>
      <c r="D30" s="8"/>
      <c r="E30" s="8"/>
      <c r="F30" s="8"/>
      <c r="G30" s="752"/>
      <c r="H30" s="752"/>
      <c r="I30" s="752"/>
      <c r="J30" s="752"/>
      <c r="M30" s="743"/>
      <c r="N30" s="743"/>
      <c r="O30" s="743"/>
    </row>
    <row r="31" spans="2:15" ht="6" customHeight="1" x14ac:dyDescent="0.2">
      <c r="M31" s="743"/>
      <c r="N31" s="743"/>
      <c r="O31" s="743"/>
    </row>
    <row r="32" spans="2:15" ht="19.5" customHeight="1" x14ac:dyDescent="0.2">
      <c r="H32" s="559" t="s">
        <v>155</v>
      </c>
      <c r="I32" s="560"/>
      <c r="J32" s="560"/>
      <c r="M32" s="743"/>
      <c r="N32" s="743"/>
      <c r="O32" s="743"/>
    </row>
    <row r="33" spans="13:15" ht="15.75" customHeight="1" x14ac:dyDescent="0.2">
      <c r="M33" s="743"/>
      <c r="N33" s="743"/>
      <c r="O33" s="743"/>
    </row>
    <row r="34" spans="13:15" ht="15.75" customHeight="1" x14ac:dyDescent="0.2">
      <c r="M34" s="743"/>
      <c r="N34" s="743"/>
      <c r="O34" s="743"/>
    </row>
  </sheetData>
  <sheetProtection formatCells="0" formatColumns="0" formatRows="0" insertColumns="0" insertRows="0" insertHyperlinks="0" deleteColumns="0" deleteRows="0" pivotTables="0"/>
  <mergeCells count="37">
    <mergeCell ref="M24:O24"/>
    <mergeCell ref="M25:O34"/>
    <mergeCell ref="B18:C18"/>
    <mergeCell ref="B19:C19"/>
    <mergeCell ref="B8:C8"/>
    <mergeCell ref="D8:E8"/>
    <mergeCell ref="F8:G8"/>
    <mergeCell ref="H8:J8"/>
    <mergeCell ref="D9:E9"/>
    <mergeCell ref="F9:G9"/>
    <mergeCell ref="H9:J9"/>
    <mergeCell ref="H32:J32"/>
    <mergeCell ref="B9:C9"/>
    <mergeCell ref="B11:J11"/>
    <mergeCell ref="B15:C15"/>
    <mergeCell ref="B22:E22"/>
    <mergeCell ref="G22:J30"/>
    <mergeCell ref="B17:C17"/>
    <mergeCell ref="B16:C16"/>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pageMargins left="0.7" right="0.7" top="0.75" bottom="0.75"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0E2BF-9543-4326-BFE4-5AA5AC363D27}">
  <sheetPr>
    <tabColor theme="9" tint="-0.499984740745262"/>
    <pageSetUpPr fitToPage="1"/>
  </sheetPr>
  <dimension ref="B2:T48"/>
  <sheetViews>
    <sheetView showGridLines="0" zoomScale="90" zoomScaleNormal="90" workbookViewId="0">
      <selection activeCell="P8" sqref="P8"/>
    </sheetView>
  </sheetViews>
  <sheetFormatPr defaultColWidth="12.5703125" defaultRowHeight="15.75" customHeight="1" x14ac:dyDescent="0.2"/>
  <cols>
    <col min="1" max="1" width="3.42578125" customWidth="1"/>
    <col min="2" max="2" width="14.140625" customWidth="1"/>
    <col min="3" max="3" width="17.28515625" customWidth="1"/>
    <col min="4" max="4" width="17.28515625" bestFit="1" customWidth="1"/>
    <col min="5" max="5" width="13.85546875" customWidth="1"/>
    <col min="6" max="9" width="12.5703125" customWidth="1"/>
    <col min="10" max="10" width="13.570312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Índex!B21</f>
        <v>PC2.01_Ind01</v>
      </c>
      <c r="E4" s="716"/>
      <c r="F4" s="567" t="s">
        <v>194</v>
      </c>
      <c r="G4" s="569"/>
      <c r="H4" s="781" t="str">
        <f>Índex!C21</f>
        <v>Percentatge de guies docents publicades respecte a les assignatures programades</v>
      </c>
      <c r="I4" s="782"/>
      <c r="J4" s="783"/>
    </row>
    <row r="5" spans="2:10" ht="22.5" customHeight="1" x14ac:dyDescent="0.2">
      <c r="B5" s="567" t="s">
        <v>195</v>
      </c>
      <c r="C5" s="569"/>
      <c r="D5" s="784">
        <f>Índex!F21</f>
        <v>1</v>
      </c>
      <c r="E5" s="785"/>
      <c r="F5" s="567" t="s">
        <v>196</v>
      </c>
      <c r="G5" s="569"/>
      <c r="H5" s="781" t="s">
        <v>216</v>
      </c>
      <c r="I5" s="782"/>
      <c r="J5" s="783"/>
    </row>
    <row r="6" spans="2:10" ht="37.5" customHeight="1" x14ac:dyDescent="0.2">
      <c r="B6" s="567" t="s">
        <v>471</v>
      </c>
      <c r="C6" s="569"/>
      <c r="D6" s="718" t="str">
        <f>Índex!H21</f>
        <v>Objectiu de Qualitat. Qualitat dels programes formatius</v>
      </c>
      <c r="E6" s="716"/>
      <c r="F6" s="567" t="s">
        <v>462</v>
      </c>
      <c r="G6" s="569"/>
      <c r="H6" s="781"/>
      <c r="I6" s="782"/>
      <c r="J6" s="783"/>
    </row>
    <row r="7" spans="2:10" ht="22.5" customHeight="1" x14ac:dyDescent="0.2">
      <c r="B7" s="567" t="s">
        <v>463</v>
      </c>
      <c r="C7" s="569"/>
      <c r="D7" s="718"/>
      <c r="E7" s="716"/>
      <c r="F7" s="567" t="s">
        <v>464</v>
      </c>
      <c r="G7" s="569"/>
      <c r="H7" s="781" t="s">
        <v>198</v>
      </c>
      <c r="I7" s="782"/>
      <c r="J7" s="783"/>
    </row>
    <row r="8" spans="2:10" ht="31.5" customHeight="1" x14ac:dyDescent="0.2">
      <c r="B8" s="567" t="s">
        <v>465</v>
      </c>
      <c r="C8" s="569"/>
      <c r="D8" s="718" t="str">
        <f>Índex!D21</f>
        <v xml:space="preserve"> Vicedegana d'Afers Acadèmics de Grau</v>
      </c>
      <c r="E8" s="716"/>
      <c r="F8" s="567" t="s">
        <v>472</v>
      </c>
      <c r="G8" s="569"/>
      <c r="H8" s="781" t="str">
        <f>Índex!E21</f>
        <v>Gestora de Programació Docent</v>
      </c>
      <c r="I8" s="782"/>
      <c r="J8" s="783"/>
    </row>
    <row r="9" spans="2:10" ht="55.5" customHeight="1" x14ac:dyDescent="0.2">
      <c r="B9" s="567" t="s">
        <v>461</v>
      </c>
      <c r="C9" s="569"/>
      <c r="D9" s="718" t="str">
        <f>Índex!G21</f>
        <v>PC2.01. Planificació i Programació d’Assignatures. Guies Docents</v>
      </c>
      <c r="E9" s="716"/>
      <c r="F9" s="567" t="s">
        <v>467</v>
      </c>
      <c r="G9" s="569"/>
      <c r="H9" s="778" t="s">
        <v>486</v>
      </c>
      <c r="I9" s="779"/>
      <c r="J9" s="780"/>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4" t="s">
        <v>200</v>
      </c>
      <c r="E14" s="84" t="s">
        <v>201</v>
      </c>
      <c r="F14" s="84" t="s">
        <v>202</v>
      </c>
      <c r="G14" s="84" t="s">
        <v>203</v>
      </c>
      <c r="H14" s="84" t="s">
        <v>204</v>
      </c>
      <c r="I14" s="84" t="s">
        <v>205</v>
      </c>
      <c r="J14" s="84" t="s">
        <v>256</v>
      </c>
    </row>
    <row r="15" spans="2:10" ht="41.25" customHeight="1" x14ac:dyDescent="0.2">
      <c r="B15" s="739" t="s">
        <v>218</v>
      </c>
      <c r="C15" s="739"/>
      <c r="D15" s="57">
        <v>1.06</v>
      </c>
      <c r="E15" s="57">
        <v>1.06</v>
      </c>
      <c r="F15" s="57">
        <v>1.0900000000000001</v>
      </c>
      <c r="G15" s="57">
        <v>1.04</v>
      </c>
      <c r="H15" s="57">
        <v>1</v>
      </c>
      <c r="I15" s="57">
        <v>1</v>
      </c>
      <c r="J15" s="57">
        <v>0.79</v>
      </c>
    </row>
    <row r="16" spans="2:10" ht="41.25" customHeight="1" x14ac:dyDescent="0.2">
      <c r="B16" s="739" t="s">
        <v>262</v>
      </c>
      <c r="C16" s="739"/>
      <c r="D16" s="57">
        <v>1.04</v>
      </c>
      <c r="E16" s="57">
        <v>0.98</v>
      </c>
      <c r="F16" s="57">
        <v>1.1399999999999999</v>
      </c>
      <c r="G16" s="57">
        <v>0.97</v>
      </c>
      <c r="H16" s="57">
        <v>1</v>
      </c>
      <c r="I16" s="57">
        <v>0.9</v>
      </c>
      <c r="J16" s="57">
        <v>1</v>
      </c>
    </row>
    <row r="17" spans="2:10" ht="41.25" customHeight="1" x14ac:dyDescent="0.2">
      <c r="B17" s="739" t="s">
        <v>221</v>
      </c>
      <c r="C17" s="739"/>
      <c r="D17" s="57">
        <v>1</v>
      </c>
      <c r="E17" s="57">
        <v>1</v>
      </c>
      <c r="F17" s="57">
        <v>1</v>
      </c>
      <c r="G17" s="57">
        <v>1</v>
      </c>
      <c r="H17" s="57">
        <v>1</v>
      </c>
      <c r="I17" s="57">
        <v>1.02</v>
      </c>
      <c r="J17" s="57">
        <v>1</v>
      </c>
    </row>
    <row r="18" spans="2:10" ht="41.25" customHeight="1" x14ac:dyDescent="0.2">
      <c r="B18" s="739" t="s">
        <v>224</v>
      </c>
      <c r="C18" s="739"/>
      <c r="D18" s="57">
        <v>1.02</v>
      </c>
      <c r="E18" s="57">
        <v>1</v>
      </c>
      <c r="F18" s="57">
        <v>0.86</v>
      </c>
      <c r="G18" s="57">
        <v>0.91</v>
      </c>
      <c r="H18" s="57">
        <v>1</v>
      </c>
      <c r="I18" s="57">
        <v>0.67</v>
      </c>
      <c r="J18" s="57">
        <v>0.95</v>
      </c>
    </row>
    <row r="19" spans="2:10" ht="41.25" customHeight="1" x14ac:dyDescent="0.2">
      <c r="B19" s="739" t="s">
        <v>225</v>
      </c>
      <c r="C19" s="739"/>
      <c r="D19" s="39" t="s">
        <v>264</v>
      </c>
      <c r="E19" s="57">
        <v>1</v>
      </c>
      <c r="F19" s="57">
        <v>1</v>
      </c>
      <c r="G19" s="57">
        <v>1</v>
      </c>
      <c r="H19" s="57">
        <v>1</v>
      </c>
      <c r="I19" s="57">
        <v>1</v>
      </c>
      <c r="J19" s="57">
        <v>1</v>
      </c>
    </row>
    <row r="20" spans="2:10" ht="41.25" customHeight="1" x14ac:dyDescent="0.2">
      <c r="B20" s="739" t="s">
        <v>226</v>
      </c>
      <c r="C20" s="739"/>
      <c r="D20" s="57">
        <v>0.95</v>
      </c>
      <c r="E20" s="57">
        <v>0.98</v>
      </c>
      <c r="F20" s="57">
        <v>0.84</v>
      </c>
      <c r="G20" s="57">
        <v>0.9</v>
      </c>
      <c r="H20" s="57">
        <v>1</v>
      </c>
      <c r="I20" s="57">
        <v>0.88</v>
      </c>
      <c r="J20" s="57">
        <v>1</v>
      </c>
    </row>
    <row r="21" spans="2:10" ht="43.5" customHeight="1" x14ac:dyDescent="0.2">
      <c r="B21" s="739" t="s">
        <v>263</v>
      </c>
      <c r="C21" s="739"/>
      <c r="D21" s="57">
        <v>1</v>
      </c>
      <c r="E21" s="57">
        <v>0.89</v>
      </c>
      <c r="F21" s="57">
        <v>0.93</v>
      </c>
      <c r="G21" s="57">
        <v>0.98</v>
      </c>
      <c r="H21" s="57">
        <v>0.93</v>
      </c>
      <c r="I21" s="57">
        <v>0.93</v>
      </c>
      <c r="J21" s="57">
        <v>1</v>
      </c>
    </row>
    <row r="22" spans="2:10" ht="29.25" customHeight="1" x14ac:dyDescent="0.2">
      <c r="B22" s="739" t="s">
        <v>228</v>
      </c>
      <c r="C22" s="739"/>
      <c r="D22" s="57">
        <v>1.02</v>
      </c>
      <c r="E22" s="57">
        <v>0.83</v>
      </c>
      <c r="F22" s="57">
        <v>1.07</v>
      </c>
      <c r="G22" s="57">
        <v>1</v>
      </c>
      <c r="H22" s="57">
        <v>1</v>
      </c>
      <c r="I22" s="57">
        <v>0.98</v>
      </c>
      <c r="J22" s="57">
        <v>1</v>
      </c>
    </row>
    <row r="23" spans="2:10" ht="51.75" customHeight="1" x14ac:dyDescent="0.2">
      <c r="B23" s="739" t="s">
        <v>265</v>
      </c>
      <c r="C23" s="739"/>
      <c r="D23" s="57">
        <v>1.06</v>
      </c>
      <c r="E23" s="57">
        <v>1</v>
      </c>
      <c r="F23" s="57">
        <v>1</v>
      </c>
      <c r="G23" s="57">
        <v>1</v>
      </c>
      <c r="H23" s="57">
        <v>1</v>
      </c>
      <c r="I23" s="57">
        <v>1</v>
      </c>
      <c r="J23" s="57">
        <v>1</v>
      </c>
    </row>
    <row r="24" spans="2:10" ht="29.25" customHeight="1" x14ac:dyDescent="0.2">
      <c r="B24" s="739" t="s">
        <v>266</v>
      </c>
      <c r="C24" s="739"/>
      <c r="D24" s="57">
        <v>1</v>
      </c>
      <c r="E24" s="57">
        <v>0.94</v>
      </c>
      <c r="F24" s="57">
        <v>0.93</v>
      </c>
      <c r="G24" s="57">
        <v>0.36</v>
      </c>
      <c r="H24" s="57">
        <v>1</v>
      </c>
      <c r="I24" s="57">
        <v>1</v>
      </c>
      <c r="J24" s="57">
        <v>1</v>
      </c>
    </row>
    <row r="25" spans="2:10" ht="29.25" customHeight="1" x14ac:dyDescent="0.2">
      <c r="B25" s="739" t="s">
        <v>485</v>
      </c>
      <c r="C25" s="739"/>
      <c r="D25" s="57">
        <v>1</v>
      </c>
      <c r="E25" s="57">
        <v>1</v>
      </c>
      <c r="F25" s="57">
        <v>1</v>
      </c>
      <c r="G25" s="57">
        <v>1</v>
      </c>
      <c r="H25" s="57">
        <v>1</v>
      </c>
      <c r="I25" s="57">
        <v>1</v>
      </c>
      <c r="J25" s="57">
        <v>1</v>
      </c>
    </row>
    <row r="26" spans="2:10" ht="48.75" customHeight="1" x14ac:dyDescent="0.2">
      <c r="B26" s="739" t="s">
        <v>268</v>
      </c>
      <c r="C26" s="739"/>
      <c r="D26" s="57">
        <v>1</v>
      </c>
      <c r="E26" s="57">
        <v>1.08</v>
      </c>
      <c r="F26" s="57">
        <v>1</v>
      </c>
      <c r="G26" s="57">
        <v>1</v>
      </c>
      <c r="H26" s="57">
        <v>1</v>
      </c>
      <c r="I26" s="57">
        <v>1</v>
      </c>
      <c r="J26" s="57">
        <v>1</v>
      </c>
    </row>
    <row r="27" spans="2:10" ht="55.5" customHeight="1" x14ac:dyDescent="0.2">
      <c r="B27" s="739" t="s">
        <v>269</v>
      </c>
      <c r="C27" s="739"/>
      <c r="D27" s="57">
        <v>1.1399999999999999</v>
      </c>
      <c r="E27" s="57">
        <v>1</v>
      </c>
      <c r="F27" s="57">
        <v>1</v>
      </c>
      <c r="G27" s="57">
        <v>1.07</v>
      </c>
      <c r="H27" s="57">
        <v>0.86</v>
      </c>
      <c r="I27" s="57">
        <v>1.4</v>
      </c>
      <c r="J27" s="57">
        <v>0.88</v>
      </c>
    </row>
    <row r="28" spans="2:10" ht="55.5" customHeight="1" x14ac:dyDescent="0.2">
      <c r="B28" s="739" t="s">
        <v>271</v>
      </c>
      <c r="C28" s="739"/>
      <c r="D28" s="57">
        <v>0</v>
      </c>
      <c r="E28" s="57">
        <v>0.67</v>
      </c>
      <c r="F28" s="57">
        <v>1</v>
      </c>
      <c r="G28" s="57">
        <v>0</v>
      </c>
      <c r="H28" s="57" t="s">
        <v>213</v>
      </c>
      <c r="I28" s="57">
        <v>0</v>
      </c>
      <c r="J28" s="57">
        <v>1</v>
      </c>
    </row>
    <row r="29" spans="2:10" ht="45" customHeight="1" x14ac:dyDescent="0.2">
      <c r="B29" s="739" t="s">
        <v>270</v>
      </c>
      <c r="C29" s="739"/>
      <c r="D29" s="57">
        <v>1</v>
      </c>
      <c r="E29" s="57">
        <v>1</v>
      </c>
      <c r="F29" s="94">
        <v>1</v>
      </c>
      <c r="G29" s="94">
        <v>1</v>
      </c>
      <c r="H29" s="57">
        <v>1</v>
      </c>
      <c r="I29" s="57">
        <v>1</v>
      </c>
      <c r="J29" s="57">
        <v>1</v>
      </c>
    </row>
    <row r="30" spans="2:10" ht="22.5" customHeight="1" x14ac:dyDescent="0.25">
      <c r="B30" s="774">
        <f>D32</f>
        <v>1</v>
      </c>
      <c r="C30" s="774"/>
      <c r="D30" s="48">
        <f t="shared" ref="D30:J30" si="0">COUNTIF(D15:D29,"&gt;="&amp;D32)</f>
        <v>12</v>
      </c>
      <c r="E30" s="48">
        <f t="shared" si="0"/>
        <v>9</v>
      </c>
      <c r="F30" s="48">
        <f t="shared" si="0"/>
        <v>11</v>
      </c>
      <c r="G30" s="48">
        <f t="shared" si="0"/>
        <v>9</v>
      </c>
      <c r="H30" s="48">
        <f t="shared" si="0"/>
        <v>12</v>
      </c>
      <c r="I30" s="48">
        <f t="shared" si="0"/>
        <v>9</v>
      </c>
      <c r="J30" s="48">
        <f t="shared" si="0"/>
        <v>12</v>
      </c>
    </row>
    <row r="31" spans="2:10" ht="22.5" customHeight="1" x14ac:dyDescent="0.25">
      <c r="B31" s="775" t="s">
        <v>248</v>
      </c>
      <c r="C31" s="775"/>
      <c r="D31" s="48">
        <f t="shared" ref="D31:J31" si="1">COUNT(D15:D29)</f>
        <v>14</v>
      </c>
      <c r="E31" s="48">
        <f t="shared" si="1"/>
        <v>15</v>
      </c>
      <c r="F31" s="48">
        <f t="shared" si="1"/>
        <v>15</v>
      </c>
      <c r="G31" s="48">
        <f t="shared" si="1"/>
        <v>15</v>
      </c>
      <c r="H31" s="48">
        <f t="shared" si="1"/>
        <v>14</v>
      </c>
      <c r="I31" s="48">
        <f t="shared" si="1"/>
        <v>15</v>
      </c>
      <c r="J31" s="48">
        <f t="shared" si="1"/>
        <v>15</v>
      </c>
    </row>
    <row r="32" spans="2:10" ht="22.5" customHeight="1" x14ac:dyDescent="0.2">
      <c r="B32" s="776" t="s">
        <v>207</v>
      </c>
      <c r="C32" s="777"/>
      <c r="D32" s="95">
        <f>$D$5</f>
        <v>1</v>
      </c>
      <c r="E32" s="95">
        <f t="shared" ref="E32:J32" si="2">$D$5</f>
        <v>1</v>
      </c>
      <c r="F32" s="95">
        <f t="shared" si="2"/>
        <v>1</v>
      </c>
      <c r="G32" s="95">
        <f t="shared" si="2"/>
        <v>1</v>
      </c>
      <c r="H32" s="95">
        <f t="shared" si="2"/>
        <v>1</v>
      </c>
      <c r="I32" s="95">
        <f t="shared" si="2"/>
        <v>1</v>
      </c>
      <c r="J32" s="95">
        <f t="shared" si="2"/>
        <v>1</v>
      </c>
    </row>
    <row r="33" spans="2:20" ht="22.5" customHeight="1" x14ac:dyDescent="0.2">
      <c r="B33" s="776" t="s">
        <v>208</v>
      </c>
      <c r="C33" s="777"/>
      <c r="D33" s="54">
        <f t="shared" ref="D33:J33" si="3">D30/D31</f>
        <v>0.8571428571428571</v>
      </c>
      <c r="E33" s="87">
        <f t="shared" si="3"/>
        <v>0.6</v>
      </c>
      <c r="F33" s="54">
        <f t="shared" si="3"/>
        <v>0.73333333333333328</v>
      </c>
      <c r="G33" s="87">
        <f t="shared" si="3"/>
        <v>0.6</v>
      </c>
      <c r="H33" s="54">
        <f t="shared" si="3"/>
        <v>0.8571428571428571</v>
      </c>
      <c r="I33" s="87">
        <f t="shared" si="3"/>
        <v>0.6</v>
      </c>
      <c r="J33" s="87">
        <f t="shared" si="3"/>
        <v>0.8</v>
      </c>
    </row>
    <row r="35" spans="2:20" ht="22.5" customHeight="1" x14ac:dyDescent="0.2">
      <c r="B35" s="567" t="s">
        <v>469</v>
      </c>
      <c r="C35" s="773"/>
      <c r="D35" s="773"/>
      <c r="E35" s="719"/>
      <c r="F35" s="8"/>
    </row>
    <row r="36" spans="2:20" ht="22.5" customHeight="1" x14ac:dyDescent="0.2">
      <c r="B36" s="8"/>
      <c r="C36" s="8"/>
      <c r="D36" s="8"/>
      <c r="E36" s="8"/>
      <c r="F36" s="8"/>
    </row>
    <row r="37" spans="2:20" ht="6" customHeight="1" x14ac:dyDescent="0.2">
      <c r="B37" s="8"/>
      <c r="C37" s="8"/>
      <c r="D37" s="8"/>
      <c r="E37" s="8"/>
      <c r="F37" s="8"/>
    </row>
    <row r="38" spans="2:20" ht="19.5" customHeight="1" x14ac:dyDescent="0.2">
      <c r="B38" s="8"/>
      <c r="C38" s="8"/>
      <c r="D38" s="8"/>
      <c r="E38" s="8"/>
      <c r="F38" s="8"/>
    </row>
    <row r="39" spans="2:20" ht="19.5" customHeight="1" x14ac:dyDescent="0.2">
      <c r="B39" s="8"/>
      <c r="C39" s="8"/>
      <c r="D39" s="8"/>
      <c r="E39" s="8"/>
      <c r="F39" s="8"/>
      <c r="Q39" s="567" t="s">
        <v>470</v>
      </c>
      <c r="R39" s="568"/>
      <c r="S39" s="568"/>
      <c r="T39" s="569"/>
    </row>
    <row r="40" spans="2:20" ht="19.5" customHeight="1" x14ac:dyDescent="0.2">
      <c r="B40" s="8"/>
      <c r="C40" s="8"/>
      <c r="D40" s="8"/>
      <c r="E40" s="8"/>
      <c r="F40" s="8"/>
      <c r="Q40" s="111" t="s">
        <v>155</v>
      </c>
      <c r="R40" s="286"/>
      <c r="S40" s="286"/>
      <c r="T40" s="287"/>
    </row>
    <row r="41" spans="2:20" ht="19.5" customHeight="1" x14ac:dyDescent="0.2">
      <c r="B41" s="8"/>
      <c r="C41" s="8"/>
      <c r="D41" s="8"/>
      <c r="E41" s="8"/>
      <c r="F41" s="8"/>
      <c r="Q41" s="112"/>
      <c r="R41" s="288"/>
      <c r="S41" s="288"/>
      <c r="T41" s="289"/>
    </row>
    <row r="42" spans="2:20" ht="19.5" customHeight="1" x14ac:dyDescent="0.2">
      <c r="B42" s="8"/>
      <c r="C42" s="8"/>
      <c r="D42" s="8"/>
      <c r="E42" s="8"/>
      <c r="F42" s="8"/>
      <c r="Q42" s="112"/>
      <c r="R42" s="288"/>
      <c r="S42" s="288"/>
      <c r="T42" s="289"/>
    </row>
    <row r="43" spans="2:20" ht="19.5" customHeight="1" x14ac:dyDescent="0.2">
      <c r="B43" s="8"/>
      <c r="C43" s="8"/>
      <c r="D43" s="8"/>
      <c r="E43" s="8"/>
      <c r="F43" s="8"/>
      <c r="Q43" s="112"/>
      <c r="R43" s="288"/>
      <c r="S43" s="288"/>
      <c r="T43" s="289"/>
    </row>
    <row r="44" spans="2:20" ht="19.5" customHeight="1" x14ac:dyDescent="0.2">
      <c r="B44" s="8"/>
      <c r="C44" s="8"/>
      <c r="D44" s="8"/>
      <c r="E44" s="8"/>
      <c r="F44" s="8"/>
      <c r="Q44" s="112"/>
      <c r="R44" s="288"/>
      <c r="S44" s="288"/>
      <c r="T44" s="289"/>
    </row>
    <row r="45" spans="2:20" ht="19.5" customHeight="1" x14ac:dyDescent="0.2">
      <c r="B45" s="8"/>
      <c r="C45" s="8"/>
      <c r="D45" s="8"/>
      <c r="E45" s="8"/>
      <c r="F45" s="8"/>
      <c r="Q45" s="112"/>
      <c r="R45" s="288"/>
      <c r="S45" s="288"/>
      <c r="T45" s="289"/>
    </row>
    <row r="46" spans="2:20" ht="19.5" customHeight="1" x14ac:dyDescent="0.2">
      <c r="Q46" s="112"/>
      <c r="R46" s="288"/>
      <c r="S46" s="288"/>
      <c r="T46" s="289"/>
    </row>
    <row r="47" spans="2:20" ht="19.5" customHeight="1" x14ac:dyDescent="0.2">
      <c r="H47" s="559" t="s">
        <v>155</v>
      </c>
      <c r="I47" s="560"/>
      <c r="J47" s="560"/>
      <c r="Q47" s="112"/>
      <c r="R47" s="288"/>
      <c r="S47" s="288"/>
      <c r="T47" s="289"/>
    </row>
    <row r="48" spans="2:20" ht="15.75" customHeight="1" x14ac:dyDescent="0.2">
      <c r="Q48" s="113"/>
      <c r="R48" s="290"/>
      <c r="S48" s="290"/>
      <c r="T48" s="291"/>
    </row>
  </sheetData>
  <sheetProtection formatCells="0" formatColumns="0" formatRows="0" insertColumns="0" insertRows="0" insertHyperlinks="0" deleteColumns="0" deleteRows="0" pivotTables="0"/>
  <mergeCells count="49">
    <mergeCell ref="D6:E6"/>
    <mergeCell ref="F6:G6"/>
    <mergeCell ref="H6:J6"/>
    <mergeCell ref="H7:J7"/>
    <mergeCell ref="B8:C8"/>
    <mergeCell ref="D8:E8"/>
    <mergeCell ref="F8:G8"/>
    <mergeCell ref="H8:J8"/>
    <mergeCell ref="Q39:T39"/>
    <mergeCell ref="B2:D2"/>
    <mergeCell ref="E2:J2"/>
    <mergeCell ref="B4:C4"/>
    <mergeCell ref="D4:E4"/>
    <mergeCell ref="F4:G4"/>
    <mergeCell ref="H4:J4"/>
    <mergeCell ref="B5:C5"/>
    <mergeCell ref="D5:E5"/>
    <mergeCell ref="F5:G5"/>
    <mergeCell ref="H5:J5"/>
    <mergeCell ref="B7:C7"/>
    <mergeCell ref="D7:E7"/>
    <mergeCell ref="F7:G7"/>
    <mergeCell ref="B25:C25"/>
    <mergeCell ref="B6:C6"/>
    <mergeCell ref="B11:J11"/>
    <mergeCell ref="B9:C9"/>
    <mergeCell ref="B21:C21"/>
    <mergeCell ref="B22:C22"/>
    <mergeCell ref="B15:C15"/>
    <mergeCell ref="B16:C16"/>
    <mergeCell ref="B17:C17"/>
    <mergeCell ref="B18:C18"/>
    <mergeCell ref="B20:C20"/>
    <mergeCell ref="B19:C19"/>
    <mergeCell ref="D9:E9"/>
    <mergeCell ref="F9:G9"/>
    <mergeCell ref="H9:J9"/>
    <mergeCell ref="B35:E35"/>
    <mergeCell ref="B23:C23"/>
    <mergeCell ref="B24:C24"/>
    <mergeCell ref="H47:J47"/>
    <mergeCell ref="B26:C26"/>
    <mergeCell ref="B27:C27"/>
    <mergeCell ref="B29:C29"/>
    <mergeCell ref="B30:C30"/>
    <mergeCell ref="B31:C31"/>
    <mergeCell ref="B32:C32"/>
    <mergeCell ref="B33:C33"/>
    <mergeCell ref="B28:C28"/>
  </mergeCells>
  <phoneticPr fontId="25" type="noConversion"/>
  <conditionalFormatting sqref="D15:J29">
    <cfRule type="cellIs" dxfId="48" priority="1" operator="lessThan">
      <formula>1</formula>
    </cfRule>
  </conditionalFormatting>
  <pageMargins left="0.7" right="0.7" top="0.75" bottom="0.75" header="0" footer="0"/>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18D89-FCB1-4B0C-9453-F5DF9DC559C6}">
  <sheetPr>
    <tabColor theme="9" tint="-0.499984740745262"/>
    <pageSetUpPr fitToPage="1"/>
  </sheetPr>
  <dimension ref="B2:U50"/>
  <sheetViews>
    <sheetView showGridLines="0" zoomScale="90" zoomScaleNormal="90" workbookViewId="0">
      <selection activeCell="O7" sqref="O7"/>
    </sheetView>
  </sheetViews>
  <sheetFormatPr defaultColWidth="12.5703125" defaultRowHeight="15.75" customHeight="1" x14ac:dyDescent="0.2"/>
  <cols>
    <col min="1" max="1" width="3.42578125" customWidth="1"/>
    <col min="2" max="2" width="14.140625" customWidth="1"/>
    <col min="3" max="3" width="18" customWidth="1"/>
    <col min="4" max="4" width="17.28515625" bestFit="1" customWidth="1"/>
    <col min="5" max="9" width="12.5703125" customWidth="1"/>
    <col min="10" max="10" width="11.710937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Índex!B22</f>
        <v>PC2.01_Ind02</v>
      </c>
      <c r="E4" s="716"/>
      <c r="F4" s="567" t="s">
        <v>194</v>
      </c>
      <c r="G4" s="568"/>
      <c r="H4" s="786" t="str">
        <f>Índex!C22</f>
        <v xml:space="preserve">Percentatge d’hores de docència impartides per PDI amb títol de Doctor </v>
      </c>
      <c r="I4" s="787"/>
      <c r="J4" s="787"/>
    </row>
    <row r="5" spans="2:10" ht="22.5" customHeight="1" x14ac:dyDescent="0.2">
      <c r="B5" s="567" t="s">
        <v>195</v>
      </c>
      <c r="C5" s="569"/>
      <c r="D5" s="718" t="str">
        <f>Índex!F22</f>
        <v>≥70%</v>
      </c>
      <c r="E5" s="716"/>
      <c r="F5" s="567" t="s">
        <v>196</v>
      </c>
      <c r="G5" s="568"/>
      <c r="H5" s="786" t="s">
        <v>216</v>
      </c>
      <c r="I5" s="787"/>
      <c r="J5" s="787"/>
    </row>
    <row r="6" spans="2:10" ht="34.5" customHeight="1" x14ac:dyDescent="0.2">
      <c r="B6" s="567" t="s">
        <v>471</v>
      </c>
      <c r="C6" s="569"/>
      <c r="D6" s="718" t="str">
        <f>Índex!H22</f>
        <v>Objectiu de Qualitat. Organització i gestió de recursos</v>
      </c>
      <c r="E6" s="716"/>
      <c r="F6" s="567" t="s">
        <v>462</v>
      </c>
      <c r="G6" s="568"/>
      <c r="H6" s="786"/>
      <c r="I6" s="787"/>
      <c r="J6" s="787"/>
    </row>
    <row r="7" spans="2:10" ht="22.5" customHeight="1" x14ac:dyDescent="0.2">
      <c r="B7" s="567" t="s">
        <v>463</v>
      </c>
      <c r="C7" s="569"/>
      <c r="D7" s="718"/>
      <c r="E7" s="716"/>
      <c r="F7" s="567" t="s">
        <v>464</v>
      </c>
      <c r="G7" s="568"/>
      <c r="H7" s="786" t="s">
        <v>198</v>
      </c>
      <c r="I7" s="787"/>
      <c r="J7" s="787"/>
    </row>
    <row r="8" spans="2:10" ht="31.5" customHeight="1" x14ac:dyDescent="0.2">
      <c r="B8" s="567" t="s">
        <v>465</v>
      </c>
      <c r="C8" s="569"/>
      <c r="D8" s="718" t="str">
        <f>Índex!D22</f>
        <v xml:space="preserve"> Vicedegana d'Afers Acadèmics de Grau</v>
      </c>
      <c r="E8" s="716"/>
      <c r="F8" s="567" t="s">
        <v>472</v>
      </c>
      <c r="G8" s="568"/>
      <c r="H8" s="786" t="str">
        <f>Índex!E22</f>
        <v>Gestora de Qualitat</v>
      </c>
      <c r="I8" s="787"/>
      <c r="J8" s="787"/>
    </row>
    <row r="9" spans="2:10" ht="66" customHeight="1" x14ac:dyDescent="0.2">
      <c r="B9" s="567" t="s">
        <v>461</v>
      </c>
      <c r="C9" s="569"/>
      <c r="D9" s="718" t="str">
        <f>Índex!G22</f>
        <v>PC2.01. Planificació i Programació d’Assignatures. Guies Docents</v>
      </c>
      <c r="E9" s="716"/>
      <c r="F9" s="567" t="s">
        <v>467</v>
      </c>
      <c r="G9" s="568"/>
      <c r="H9" s="786" t="s">
        <v>487</v>
      </c>
      <c r="I9" s="787"/>
      <c r="J9" s="787"/>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6" t="s">
        <v>200</v>
      </c>
      <c r="E14" s="86" t="s">
        <v>201</v>
      </c>
      <c r="F14" s="86" t="s">
        <v>202</v>
      </c>
      <c r="G14" s="86" t="s">
        <v>203</v>
      </c>
      <c r="H14" s="86" t="s">
        <v>204</v>
      </c>
      <c r="I14" s="86" t="s">
        <v>205</v>
      </c>
      <c r="J14" s="86" t="s">
        <v>256</v>
      </c>
    </row>
    <row r="15" spans="2:10" ht="41.25" customHeight="1" x14ac:dyDescent="0.2">
      <c r="B15" s="739" t="s">
        <v>218</v>
      </c>
      <c r="C15" s="739"/>
      <c r="D15" s="294">
        <v>0.86799999999999999</v>
      </c>
      <c r="E15" s="308">
        <v>0.79</v>
      </c>
      <c r="F15" s="308">
        <v>0.78</v>
      </c>
      <c r="G15" s="308">
        <v>0.76</v>
      </c>
      <c r="H15" s="308">
        <v>0.751</v>
      </c>
      <c r="I15" s="308">
        <v>0.74</v>
      </c>
      <c r="J15" s="309">
        <v>0.69099999999999995</v>
      </c>
    </row>
    <row r="16" spans="2:10" ht="41.25" customHeight="1" x14ac:dyDescent="0.2">
      <c r="B16" s="739" t="s">
        <v>272</v>
      </c>
      <c r="C16" s="739"/>
      <c r="D16" s="294">
        <v>0.86</v>
      </c>
      <c r="E16" s="308">
        <v>0.82</v>
      </c>
      <c r="F16" s="308">
        <v>0.79</v>
      </c>
      <c r="G16" s="308">
        <v>0.75</v>
      </c>
      <c r="H16" s="308">
        <v>0.75890000000000002</v>
      </c>
      <c r="I16" s="308">
        <v>0.80730000000000002</v>
      </c>
      <c r="J16" s="308">
        <v>0.79210000000000003</v>
      </c>
    </row>
    <row r="17" spans="2:10" ht="41.25" customHeight="1" x14ac:dyDescent="0.2">
      <c r="B17" s="739" t="s">
        <v>262</v>
      </c>
      <c r="C17" s="739"/>
      <c r="D17" s="294">
        <v>0.68</v>
      </c>
      <c r="E17" s="308">
        <v>0.71</v>
      </c>
      <c r="F17" s="308">
        <v>0.7</v>
      </c>
      <c r="G17" s="308">
        <v>0.7</v>
      </c>
      <c r="H17" s="308">
        <v>0.72189999999999999</v>
      </c>
      <c r="I17" s="309">
        <v>0.68</v>
      </c>
      <c r="J17" s="309">
        <v>0.69040000000000001</v>
      </c>
    </row>
    <row r="18" spans="2:10" ht="41.25" customHeight="1" x14ac:dyDescent="0.2">
      <c r="B18" s="739" t="s">
        <v>221</v>
      </c>
      <c r="C18" s="739"/>
      <c r="D18" s="294">
        <v>0.9</v>
      </c>
      <c r="E18" s="308">
        <v>0.90400000000000003</v>
      </c>
      <c r="F18" s="308">
        <v>0.90300000000000002</v>
      </c>
      <c r="G18" s="308">
        <v>0.87</v>
      </c>
      <c r="H18" s="308">
        <v>0.89190000000000003</v>
      </c>
      <c r="I18" s="308">
        <v>0.91</v>
      </c>
      <c r="J18" s="308">
        <v>0.87329999999999997</v>
      </c>
    </row>
    <row r="19" spans="2:10" ht="41.25" customHeight="1" x14ac:dyDescent="0.2">
      <c r="B19" s="739" t="s">
        <v>273</v>
      </c>
      <c r="C19" s="739"/>
      <c r="D19" s="294">
        <v>0.96</v>
      </c>
      <c r="E19" s="308">
        <v>0.94</v>
      </c>
      <c r="F19" s="308">
        <v>0.94</v>
      </c>
      <c r="G19" s="308">
        <v>0.93</v>
      </c>
      <c r="H19" s="308">
        <v>0.93269999999999997</v>
      </c>
      <c r="I19" s="308">
        <v>0.9214</v>
      </c>
      <c r="J19" s="308">
        <v>0.89559999999999995</v>
      </c>
    </row>
    <row r="20" spans="2:10" ht="41.25" customHeight="1" x14ac:dyDescent="0.2">
      <c r="B20" s="739" t="s">
        <v>274</v>
      </c>
      <c r="C20" s="739"/>
      <c r="D20" s="294">
        <v>0.85</v>
      </c>
      <c r="E20" s="308">
        <v>0.87</v>
      </c>
      <c r="F20" s="308">
        <v>0.9</v>
      </c>
      <c r="G20" s="308">
        <v>0.96</v>
      </c>
      <c r="H20" s="308">
        <v>0.80759999999999998</v>
      </c>
      <c r="I20" s="308">
        <v>0.83430000000000004</v>
      </c>
      <c r="J20" s="308">
        <v>0.80620000000000003</v>
      </c>
    </row>
    <row r="21" spans="2:10" ht="41.25" customHeight="1" x14ac:dyDescent="0.2">
      <c r="B21" s="739" t="s">
        <v>224</v>
      </c>
      <c r="C21" s="739"/>
      <c r="D21" s="294">
        <v>0.85</v>
      </c>
      <c r="E21" s="308">
        <v>0.86</v>
      </c>
      <c r="F21" s="308">
        <v>0.82</v>
      </c>
      <c r="G21" s="308">
        <v>0.81</v>
      </c>
      <c r="H21" s="308">
        <v>0.78359999999999996</v>
      </c>
      <c r="I21" s="308">
        <v>0.87</v>
      </c>
      <c r="J21" s="308">
        <v>0.87860000000000005</v>
      </c>
    </row>
    <row r="22" spans="2:10" ht="41.25" customHeight="1" x14ac:dyDescent="0.2">
      <c r="B22" s="739" t="s">
        <v>225</v>
      </c>
      <c r="C22" s="739"/>
      <c r="D22" s="294" t="s">
        <v>264</v>
      </c>
      <c r="E22" s="308">
        <v>1</v>
      </c>
      <c r="F22" s="308">
        <v>0.94</v>
      </c>
      <c r="G22" s="308">
        <v>0.88</v>
      </c>
      <c r="H22" s="308">
        <v>0.84130000000000005</v>
      </c>
      <c r="I22" s="308">
        <v>0.86</v>
      </c>
      <c r="J22" s="308">
        <v>0.86729999999999996</v>
      </c>
    </row>
    <row r="23" spans="2:10" ht="41.25" customHeight="1" x14ac:dyDescent="0.2">
      <c r="B23" s="739" t="s">
        <v>226</v>
      </c>
      <c r="C23" s="739"/>
      <c r="D23" s="294">
        <v>0.88</v>
      </c>
      <c r="E23" s="308">
        <v>0.94</v>
      </c>
      <c r="F23" s="308">
        <v>0.94</v>
      </c>
      <c r="G23" s="308">
        <v>0.95</v>
      </c>
      <c r="H23" s="308">
        <v>0.93440000000000001</v>
      </c>
      <c r="I23" s="308">
        <v>0.93</v>
      </c>
      <c r="J23" s="308">
        <v>0.89290000000000003</v>
      </c>
    </row>
    <row r="24" spans="2:10" ht="41.25" customHeight="1" x14ac:dyDescent="0.2">
      <c r="B24" s="739" t="s">
        <v>263</v>
      </c>
      <c r="C24" s="739"/>
      <c r="D24" s="294">
        <v>0.83</v>
      </c>
      <c r="E24" s="308">
        <v>0.81</v>
      </c>
      <c r="F24" s="308">
        <v>0.86</v>
      </c>
      <c r="G24" s="308">
        <v>0.84</v>
      </c>
      <c r="H24" s="308">
        <v>0.85</v>
      </c>
      <c r="I24" s="308">
        <v>0.83</v>
      </c>
      <c r="J24" s="308">
        <v>0.81889999999999996</v>
      </c>
    </row>
    <row r="25" spans="2:10" ht="41.25" customHeight="1" x14ac:dyDescent="0.2">
      <c r="B25" s="739" t="s">
        <v>228</v>
      </c>
      <c r="C25" s="739"/>
      <c r="D25" s="294">
        <v>0.83</v>
      </c>
      <c r="E25" s="308">
        <v>0.83</v>
      </c>
      <c r="F25" s="308">
        <v>0.86</v>
      </c>
      <c r="G25" s="308">
        <v>0.81</v>
      </c>
      <c r="H25" s="308">
        <v>0.78129999999999999</v>
      </c>
      <c r="I25" s="308">
        <v>0.79</v>
      </c>
      <c r="J25" s="308">
        <v>0.77739999999999998</v>
      </c>
    </row>
    <row r="26" spans="2:10" ht="51.75" customHeight="1" x14ac:dyDescent="0.2">
      <c r="B26" s="739" t="s">
        <v>265</v>
      </c>
      <c r="C26" s="739"/>
      <c r="D26" s="294">
        <v>0.91500000000000004</v>
      </c>
      <c r="E26" s="308">
        <v>0.88</v>
      </c>
      <c r="F26" s="308">
        <v>0.9</v>
      </c>
      <c r="G26" s="308">
        <v>0.89800000000000002</v>
      </c>
      <c r="H26" s="308">
        <v>0.93</v>
      </c>
      <c r="I26" s="308">
        <v>0.88</v>
      </c>
      <c r="J26" s="308">
        <v>0.92910000000000004</v>
      </c>
    </row>
    <row r="27" spans="2:10" ht="29.25" customHeight="1" x14ac:dyDescent="0.2">
      <c r="B27" s="739" t="s">
        <v>266</v>
      </c>
      <c r="C27" s="739"/>
      <c r="D27" s="294">
        <v>0.995</v>
      </c>
      <c r="E27" s="308">
        <v>0.86199999999999999</v>
      </c>
      <c r="F27" s="308">
        <v>0.88400000000000001</v>
      </c>
      <c r="G27" s="308">
        <v>0.89500000000000002</v>
      </c>
      <c r="H27" s="308">
        <v>0.99950000000000006</v>
      </c>
      <c r="I27" s="308">
        <v>0.77</v>
      </c>
      <c r="J27" s="308">
        <v>0.77880000000000005</v>
      </c>
    </row>
    <row r="28" spans="2:10" ht="29.25" customHeight="1" x14ac:dyDescent="0.2">
      <c r="B28" s="739" t="s">
        <v>267</v>
      </c>
      <c r="C28" s="739"/>
      <c r="D28" s="308">
        <v>1</v>
      </c>
      <c r="E28" s="308">
        <v>1</v>
      </c>
      <c r="F28" s="308">
        <v>1</v>
      </c>
      <c r="G28" s="308">
        <v>0.98599999999999999</v>
      </c>
      <c r="H28" s="308" t="s">
        <v>275</v>
      </c>
      <c r="I28" s="308">
        <v>1</v>
      </c>
      <c r="J28" s="308">
        <v>1</v>
      </c>
    </row>
    <row r="29" spans="2:10" ht="48.75" customHeight="1" x14ac:dyDescent="0.2">
      <c r="B29" s="739" t="s">
        <v>268</v>
      </c>
      <c r="C29" s="739"/>
      <c r="D29" s="294">
        <v>0.96599999999999997</v>
      </c>
      <c r="E29" s="308">
        <v>1</v>
      </c>
      <c r="F29" s="308">
        <v>0.95599999999999996</v>
      </c>
      <c r="G29" s="308">
        <v>0.97699999999999998</v>
      </c>
      <c r="H29" s="308">
        <v>0.97499999999999998</v>
      </c>
      <c r="I29" s="308">
        <v>0.96</v>
      </c>
      <c r="J29" s="308">
        <v>0.8972</v>
      </c>
    </row>
    <row r="30" spans="2:10" ht="55.5" customHeight="1" x14ac:dyDescent="0.2">
      <c r="B30" s="739" t="s">
        <v>269</v>
      </c>
      <c r="C30" s="739"/>
      <c r="D30" s="308">
        <v>0.96299999999999997</v>
      </c>
      <c r="E30" s="308">
        <v>0.93100000000000005</v>
      </c>
      <c r="F30" s="308">
        <v>0.97</v>
      </c>
      <c r="G30" s="308">
        <v>0.91</v>
      </c>
      <c r="H30" s="308">
        <v>0.91679999999999995</v>
      </c>
      <c r="I30" s="308">
        <v>0.92</v>
      </c>
      <c r="J30" s="308">
        <v>0.97709999999999997</v>
      </c>
    </row>
    <row r="31" spans="2:10" ht="55.5" customHeight="1" x14ac:dyDescent="0.2">
      <c r="B31" s="739" t="s">
        <v>271</v>
      </c>
      <c r="C31" s="739"/>
      <c r="D31" s="308">
        <v>0.94199999999999995</v>
      </c>
      <c r="E31" s="308">
        <v>0.94399999999999995</v>
      </c>
      <c r="F31" s="308">
        <v>0.92400000000000004</v>
      </c>
      <c r="G31" s="308">
        <v>0.95499999999999996</v>
      </c>
      <c r="H31" s="308">
        <v>1</v>
      </c>
      <c r="I31" s="308">
        <v>0.9</v>
      </c>
      <c r="J31" s="308">
        <v>0.87939999999999996</v>
      </c>
    </row>
    <row r="32" spans="2:10" ht="45.75" customHeight="1" x14ac:dyDescent="0.2">
      <c r="B32" s="739" t="s">
        <v>270</v>
      </c>
      <c r="C32" s="739"/>
      <c r="D32" s="308">
        <v>1</v>
      </c>
      <c r="E32" s="308">
        <v>1</v>
      </c>
      <c r="F32" s="308">
        <v>0.996</v>
      </c>
      <c r="G32" s="308">
        <v>1</v>
      </c>
      <c r="H32" s="308">
        <v>1</v>
      </c>
      <c r="I32" s="308">
        <v>1</v>
      </c>
      <c r="J32" s="308">
        <v>0.99139999999999995</v>
      </c>
    </row>
    <row r="33" spans="2:21" ht="22.5" customHeight="1" x14ac:dyDescent="0.2">
      <c r="B33" s="733" t="str">
        <f>D5</f>
        <v>≥70%</v>
      </c>
      <c r="C33" s="790"/>
      <c r="D33" s="64">
        <f t="shared" ref="D33:J33" si="0">COUNTIF(D15:D32,"&gt;="&amp;D35)</f>
        <v>16</v>
      </c>
      <c r="E33" s="64">
        <f t="shared" si="0"/>
        <v>18</v>
      </c>
      <c r="F33" s="64">
        <f t="shared" si="0"/>
        <v>18</v>
      </c>
      <c r="G33" s="64">
        <f t="shared" si="0"/>
        <v>18</v>
      </c>
      <c r="H33" s="64">
        <f t="shared" si="0"/>
        <v>17</v>
      </c>
      <c r="I33" s="64">
        <f t="shared" si="0"/>
        <v>17</v>
      </c>
      <c r="J33" s="64">
        <f t="shared" si="0"/>
        <v>16</v>
      </c>
    </row>
    <row r="34" spans="2:21" ht="22.5" customHeight="1" x14ac:dyDescent="0.2">
      <c r="B34" s="734" t="s">
        <v>248</v>
      </c>
      <c r="C34" s="734"/>
      <c r="D34" s="64">
        <f>COUNT(D15:D32)</f>
        <v>17</v>
      </c>
      <c r="E34" s="64">
        <f t="shared" ref="E34:J34" si="1">COUNT(E15:E32)</f>
        <v>18</v>
      </c>
      <c r="F34" s="64">
        <f t="shared" si="1"/>
        <v>18</v>
      </c>
      <c r="G34" s="64">
        <f t="shared" si="1"/>
        <v>18</v>
      </c>
      <c r="H34" s="64">
        <f t="shared" si="1"/>
        <v>17</v>
      </c>
      <c r="I34" s="64">
        <f t="shared" si="1"/>
        <v>18</v>
      </c>
      <c r="J34" s="64">
        <f t="shared" si="1"/>
        <v>18</v>
      </c>
      <c r="R34" s="788" t="s">
        <v>470</v>
      </c>
      <c r="S34" s="789"/>
      <c r="T34" s="789"/>
      <c r="U34" s="789"/>
    </row>
    <row r="35" spans="2:21" ht="22.5" customHeight="1" x14ac:dyDescent="0.2">
      <c r="B35" s="730" t="s">
        <v>207</v>
      </c>
      <c r="C35" s="787"/>
      <c r="D35" s="305">
        <v>0.7</v>
      </c>
      <c r="E35" s="305">
        <v>0.7</v>
      </c>
      <c r="F35" s="305">
        <v>0.7</v>
      </c>
      <c r="G35" s="305">
        <v>0.7</v>
      </c>
      <c r="H35" s="305">
        <v>0.7</v>
      </c>
      <c r="I35" s="305">
        <v>0.7</v>
      </c>
      <c r="J35" s="305">
        <v>0.7</v>
      </c>
      <c r="K35" s="22"/>
      <c r="R35" s="791" t="s">
        <v>488</v>
      </c>
      <c r="S35" s="791"/>
      <c r="T35" s="791"/>
      <c r="U35" s="791"/>
    </row>
    <row r="36" spans="2:21" ht="22.5" customHeight="1" x14ac:dyDescent="0.2">
      <c r="B36" s="730" t="s">
        <v>208</v>
      </c>
      <c r="C36" s="787"/>
      <c r="D36" s="47">
        <f t="shared" ref="D36:J36" si="2">D33/D34</f>
        <v>0.94117647058823528</v>
      </c>
      <c r="E36" s="47">
        <f t="shared" si="2"/>
        <v>1</v>
      </c>
      <c r="F36" s="47">
        <f t="shared" si="2"/>
        <v>1</v>
      </c>
      <c r="G36" s="47">
        <f t="shared" si="2"/>
        <v>1</v>
      </c>
      <c r="H36" s="47">
        <f t="shared" si="2"/>
        <v>1</v>
      </c>
      <c r="I36" s="47">
        <f t="shared" si="2"/>
        <v>0.94444444444444442</v>
      </c>
      <c r="J36" s="47">
        <f t="shared" si="2"/>
        <v>0.88888888888888884</v>
      </c>
      <c r="K36" s="23"/>
      <c r="R36" s="791"/>
      <c r="S36" s="791"/>
      <c r="T36" s="791"/>
      <c r="U36" s="791"/>
    </row>
    <row r="37" spans="2:21" ht="22.5" customHeight="1" x14ac:dyDescent="0.25">
      <c r="B37" s="7"/>
      <c r="C37" s="7"/>
      <c r="D37" s="6"/>
      <c r="E37" s="6"/>
      <c r="F37" s="6"/>
      <c r="G37" s="6"/>
      <c r="H37" s="6"/>
      <c r="I37" s="6"/>
      <c r="J37" s="6"/>
      <c r="R37" s="791"/>
      <c r="S37" s="791"/>
      <c r="T37" s="791"/>
      <c r="U37" s="791"/>
    </row>
    <row r="38" spans="2:21" ht="22.5" customHeight="1" x14ac:dyDescent="0.2">
      <c r="B38" s="567" t="s">
        <v>469</v>
      </c>
      <c r="C38" s="568"/>
      <c r="D38" s="568"/>
      <c r="E38" s="569"/>
      <c r="F38" s="8"/>
      <c r="R38" s="791"/>
      <c r="S38" s="791"/>
      <c r="T38" s="791"/>
      <c r="U38" s="791"/>
    </row>
    <row r="39" spans="2:21" ht="22.5" customHeight="1" x14ac:dyDescent="0.2">
      <c r="B39" s="8"/>
      <c r="C39" s="8"/>
      <c r="D39" s="8"/>
      <c r="E39" s="8"/>
      <c r="F39" s="8"/>
      <c r="R39" s="791"/>
      <c r="S39" s="791"/>
      <c r="T39" s="791"/>
      <c r="U39" s="791"/>
    </row>
    <row r="40" spans="2:21" ht="6" customHeight="1" x14ac:dyDescent="0.2">
      <c r="B40" s="8"/>
      <c r="C40" s="8"/>
      <c r="D40" s="8"/>
      <c r="E40" s="8"/>
      <c r="F40" s="8"/>
      <c r="R40" s="791"/>
      <c r="S40" s="791"/>
      <c r="T40" s="791"/>
      <c r="U40" s="791"/>
    </row>
    <row r="41" spans="2:21" ht="19.5" customHeight="1" x14ac:dyDescent="0.2">
      <c r="B41" s="8"/>
      <c r="C41" s="8"/>
      <c r="D41" s="8"/>
      <c r="E41" s="8"/>
      <c r="F41" s="8"/>
      <c r="R41" s="791"/>
      <c r="S41" s="791"/>
      <c r="T41" s="791"/>
      <c r="U41" s="791"/>
    </row>
    <row r="42" spans="2:21" ht="19.5" customHeight="1" x14ac:dyDescent="0.2">
      <c r="B42" s="8"/>
      <c r="C42" s="8"/>
      <c r="D42" s="8"/>
      <c r="E42" s="8"/>
      <c r="F42" s="8"/>
      <c r="R42" s="791"/>
      <c r="S42" s="791"/>
      <c r="T42" s="791"/>
      <c r="U42" s="791"/>
    </row>
    <row r="43" spans="2:21" ht="19.5" customHeight="1" x14ac:dyDescent="0.2">
      <c r="B43" s="8"/>
      <c r="C43" s="8"/>
      <c r="D43" s="8"/>
      <c r="E43" s="8"/>
      <c r="F43" s="8"/>
      <c r="R43" s="791"/>
      <c r="S43" s="791"/>
      <c r="T43" s="791"/>
      <c r="U43" s="791"/>
    </row>
    <row r="44" spans="2:21" ht="19.5" customHeight="1" x14ac:dyDescent="0.2">
      <c r="B44" s="8"/>
      <c r="C44" s="8"/>
      <c r="D44" s="8"/>
      <c r="E44" s="8"/>
      <c r="F44" s="8"/>
      <c r="R44" s="791"/>
      <c r="S44" s="791"/>
      <c r="T44" s="791"/>
      <c r="U44" s="791"/>
    </row>
    <row r="45" spans="2:21" ht="19.5" customHeight="1" x14ac:dyDescent="0.2">
      <c r="B45" s="8"/>
      <c r="C45" s="8"/>
      <c r="D45" s="8"/>
      <c r="E45" s="8"/>
      <c r="F45" s="8"/>
    </row>
    <row r="46" spans="2:21" ht="19.5" customHeight="1" x14ac:dyDescent="0.2">
      <c r="B46" s="8"/>
      <c r="C46" s="8"/>
      <c r="D46" s="8"/>
      <c r="E46" s="8"/>
      <c r="F46" s="8"/>
    </row>
    <row r="47" spans="2:21" ht="19.5" customHeight="1" x14ac:dyDescent="0.2">
      <c r="B47" s="8"/>
      <c r="C47" s="8"/>
      <c r="D47" s="8"/>
      <c r="E47" s="8"/>
      <c r="F47" s="8"/>
    </row>
    <row r="48" spans="2:21" ht="19.5" customHeight="1" x14ac:dyDescent="0.2">
      <c r="B48" s="8"/>
      <c r="C48" s="8"/>
      <c r="D48" s="8"/>
      <c r="E48" s="8"/>
      <c r="F48" s="8"/>
    </row>
    <row r="49" spans="8:10" ht="19.5" customHeight="1" x14ac:dyDescent="0.2"/>
    <row r="50" spans="8:10" ht="19.5" customHeight="1" x14ac:dyDescent="0.2">
      <c r="H50" s="559" t="s">
        <v>155</v>
      </c>
      <c r="I50" s="560"/>
      <c r="J50" s="560"/>
    </row>
  </sheetData>
  <sheetProtection formatCells="0" formatColumns="0" formatRows="0" insertColumns="0" insertRows="0" insertHyperlinks="0" deleteColumns="0" deleteRows="0" pivotTables="0"/>
  <mergeCells count="53">
    <mergeCell ref="B2:D2"/>
    <mergeCell ref="E2:J2"/>
    <mergeCell ref="B4:C4"/>
    <mergeCell ref="D4:E4"/>
    <mergeCell ref="F4:G4"/>
    <mergeCell ref="H4:J4"/>
    <mergeCell ref="B25:C25"/>
    <mergeCell ref="B11:J11"/>
    <mergeCell ref="B15:C15"/>
    <mergeCell ref="B9:C9"/>
    <mergeCell ref="B5:C5"/>
    <mergeCell ref="D5:E5"/>
    <mergeCell ref="F5:G5"/>
    <mergeCell ref="H5:J5"/>
    <mergeCell ref="B7:C7"/>
    <mergeCell ref="D7:E7"/>
    <mergeCell ref="F7:G7"/>
    <mergeCell ref="B6:C6"/>
    <mergeCell ref="D6:E6"/>
    <mergeCell ref="F6:G6"/>
    <mergeCell ref="H6:J6"/>
    <mergeCell ref="H7:J7"/>
    <mergeCell ref="H50:J50"/>
    <mergeCell ref="B28:C28"/>
    <mergeCell ref="B29:C29"/>
    <mergeCell ref="B30:C30"/>
    <mergeCell ref="B32:C32"/>
    <mergeCell ref="B34:C34"/>
    <mergeCell ref="B35:C35"/>
    <mergeCell ref="B36:C36"/>
    <mergeCell ref="B38:E38"/>
    <mergeCell ref="R34:U34"/>
    <mergeCell ref="B26:C26"/>
    <mergeCell ref="B27:C27"/>
    <mergeCell ref="B33:C33"/>
    <mergeCell ref="R35:U44"/>
    <mergeCell ref="B31:C31"/>
    <mergeCell ref="B18:C18"/>
    <mergeCell ref="B24:C24"/>
    <mergeCell ref="B19:C19"/>
    <mergeCell ref="B20:C20"/>
    <mergeCell ref="B8:C8"/>
    <mergeCell ref="B16:C16"/>
    <mergeCell ref="B17:C17"/>
    <mergeCell ref="B21:C21"/>
    <mergeCell ref="B22:C22"/>
    <mergeCell ref="B23:C23"/>
    <mergeCell ref="F8:G8"/>
    <mergeCell ref="H8:J8"/>
    <mergeCell ref="D9:E9"/>
    <mergeCell ref="F9:G9"/>
    <mergeCell ref="H9:J9"/>
    <mergeCell ref="D8:E8"/>
  </mergeCells>
  <phoneticPr fontId="95" type="noConversion"/>
  <conditionalFormatting sqref="D15:J32">
    <cfRule type="cellIs" dxfId="47" priority="1" operator="between">
      <formula>0</formula>
      <formula>0.63</formula>
    </cfRule>
  </conditionalFormatting>
  <pageMargins left="0.7" right="0.7" top="0.75" bottom="0.75" header="0" footer="0"/>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B6266-F571-4F10-834F-D0F61A50F538}">
  <sheetPr>
    <tabColor theme="9" tint="-0.499984740745262"/>
    <pageSetUpPr fitToPage="1"/>
  </sheetPr>
  <dimension ref="B2:U43"/>
  <sheetViews>
    <sheetView showGridLines="0" workbookViewId="0">
      <selection activeCell="N7" sqref="N6:N7"/>
    </sheetView>
  </sheetViews>
  <sheetFormatPr defaultColWidth="12.5703125" defaultRowHeight="15.75" customHeight="1" x14ac:dyDescent="0.2"/>
  <cols>
    <col min="1" max="1" width="3.42578125" customWidth="1"/>
    <col min="2" max="2" width="14.140625" customWidth="1"/>
    <col min="3" max="3" width="17.85546875" customWidth="1"/>
    <col min="4" max="4" width="17.28515625" bestFit="1" customWidth="1"/>
    <col min="5" max="5" width="9.85546875" bestFit="1" customWidth="1"/>
    <col min="6" max="9" width="12.5703125" customWidth="1"/>
    <col min="10" max="10" width="11" customWidth="1"/>
    <col min="11" max="11" width="8.85546875" customWidth="1"/>
    <col min="12" max="12" width="11.5703125" customWidth="1"/>
    <col min="13"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Índex!B23</f>
        <v>PC2.01_Ind03</v>
      </c>
      <c r="E4" s="716"/>
      <c r="F4" s="567" t="s">
        <v>194</v>
      </c>
      <c r="G4" s="568"/>
      <c r="H4" s="786" t="str">
        <f>Índex!C23</f>
        <v>Valoració mitjana a l’afirmació “Fins ara s’ha seguit la programació de l’assignatura que s’explica a la guia docent dels Graus"</v>
      </c>
      <c r="I4" s="787"/>
      <c r="J4" s="787"/>
    </row>
    <row r="5" spans="2:10" ht="22.5" customHeight="1" x14ac:dyDescent="0.2">
      <c r="B5" s="567" t="s">
        <v>195</v>
      </c>
      <c r="C5" s="569"/>
      <c r="D5" s="718" t="str">
        <f>Índex!F23</f>
        <v>≥3</v>
      </c>
      <c r="E5" s="716"/>
      <c r="F5" s="567" t="s">
        <v>196</v>
      </c>
      <c r="G5" s="568"/>
      <c r="H5" s="786" t="s">
        <v>216</v>
      </c>
      <c r="I5" s="787"/>
      <c r="J5" s="787"/>
    </row>
    <row r="6" spans="2:10" ht="36.75" customHeight="1" x14ac:dyDescent="0.2">
      <c r="B6" s="567" t="s">
        <v>471</v>
      </c>
      <c r="C6" s="569"/>
      <c r="D6" s="718" t="str">
        <f>Índex!H23</f>
        <v>Objectiu de Qualitat. Grups d'interès</v>
      </c>
      <c r="E6" s="716"/>
      <c r="F6" s="567" t="s">
        <v>462</v>
      </c>
      <c r="G6" s="568"/>
      <c r="H6" s="786"/>
      <c r="I6" s="787"/>
      <c r="J6" s="787"/>
    </row>
    <row r="7" spans="2:10" ht="22.5" customHeight="1" x14ac:dyDescent="0.2">
      <c r="B7" s="567" t="s">
        <v>463</v>
      </c>
      <c r="C7" s="569"/>
      <c r="D7" s="718"/>
      <c r="E7" s="716"/>
      <c r="F7" s="567" t="s">
        <v>464</v>
      </c>
      <c r="G7" s="568"/>
      <c r="H7" s="786" t="s">
        <v>198</v>
      </c>
      <c r="I7" s="787"/>
      <c r="J7" s="787"/>
    </row>
    <row r="8" spans="2:10" ht="36.75" customHeight="1" x14ac:dyDescent="0.2">
      <c r="B8" s="567" t="s">
        <v>465</v>
      </c>
      <c r="C8" s="569"/>
      <c r="D8" s="718" t="str">
        <f>Índex!D23</f>
        <v xml:space="preserve"> Vicedegana d'Afers Acadèmics de Grau</v>
      </c>
      <c r="E8" s="716"/>
      <c r="F8" s="567" t="s">
        <v>472</v>
      </c>
      <c r="G8" s="568"/>
      <c r="H8" s="786" t="str">
        <f>Índex!E23</f>
        <v>Gestora de Qualitat</v>
      </c>
      <c r="I8" s="787"/>
      <c r="J8" s="787"/>
    </row>
    <row r="9" spans="2:10" ht="48" customHeight="1" x14ac:dyDescent="0.2">
      <c r="B9" s="567" t="s">
        <v>461</v>
      </c>
      <c r="C9" s="569"/>
      <c r="D9" s="718" t="str">
        <f>Índex!G23</f>
        <v>PC2.02. Programació de Treball de Fi d'Estudis (TFE)</v>
      </c>
      <c r="E9" s="716"/>
      <c r="F9" s="567" t="s">
        <v>467</v>
      </c>
      <c r="G9" s="568"/>
      <c r="H9" s="786" t="s">
        <v>489</v>
      </c>
      <c r="I9" s="787"/>
      <c r="J9" s="787"/>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6" t="s">
        <v>200</v>
      </c>
      <c r="E14" s="86" t="s">
        <v>201</v>
      </c>
      <c r="F14" s="86" t="s">
        <v>202</v>
      </c>
      <c r="G14" s="86" t="s">
        <v>203</v>
      </c>
      <c r="H14" s="86" t="s">
        <v>204</v>
      </c>
      <c r="I14" s="86" t="s">
        <v>205</v>
      </c>
      <c r="J14" s="86" t="s">
        <v>256</v>
      </c>
    </row>
    <row r="15" spans="2:10" ht="41.25" customHeight="1" x14ac:dyDescent="0.2">
      <c r="B15" s="739" t="s">
        <v>218</v>
      </c>
      <c r="C15" s="739"/>
      <c r="D15" s="81">
        <f>(3.3+3.26)/2</f>
        <v>3.28</v>
      </c>
      <c r="E15" s="39">
        <v>3.42</v>
      </c>
      <c r="F15" s="82">
        <f>(3.29+3.2)/2</f>
        <v>3.2450000000000001</v>
      </c>
      <c r="G15" s="39">
        <v>3.42</v>
      </c>
      <c r="H15" s="39">
        <v>3.36</v>
      </c>
      <c r="I15" s="39">
        <v>3.33</v>
      </c>
      <c r="J15" s="39">
        <v>3.42</v>
      </c>
    </row>
    <row r="16" spans="2:10" ht="41.25" customHeight="1" x14ac:dyDescent="0.2">
      <c r="B16" s="739" t="s">
        <v>272</v>
      </c>
      <c r="C16" s="739"/>
      <c r="D16" s="81" t="s">
        <v>213</v>
      </c>
      <c r="E16" s="39" t="s">
        <v>213</v>
      </c>
      <c r="F16" s="82">
        <v>3.3</v>
      </c>
      <c r="G16" s="39" t="s">
        <v>213</v>
      </c>
      <c r="H16" s="39" t="s">
        <v>213</v>
      </c>
      <c r="I16" s="39" t="s">
        <v>213</v>
      </c>
      <c r="J16" s="39">
        <v>3.36</v>
      </c>
    </row>
    <row r="17" spans="2:21" ht="41.25" customHeight="1" x14ac:dyDescent="0.2">
      <c r="B17" s="739" t="s">
        <v>262</v>
      </c>
      <c r="C17" s="739"/>
      <c r="D17" s="81">
        <f>(3.17+3.31)/2</f>
        <v>3.24</v>
      </c>
      <c r="E17" s="39">
        <v>3.32</v>
      </c>
      <c r="F17" s="82">
        <v>3.16</v>
      </c>
      <c r="G17" s="39">
        <v>3.36</v>
      </c>
      <c r="H17" s="39">
        <v>3.45</v>
      </c>
      <c r="I17" s="39">
        <v>3.38</v>
      </c>
      <c r="J17" s="39">
        <v>3.33</v>
      </c>
    </row>
    <row r="18" spans="2:21" ht="41.25" customHeight="1" x14ac:dyDescent="0.2">
      <c r="B18" s="739" t="s">
        <v>221</v>
      </c>
      <c r="C18" s="739"/>
      <c r="D18" s="81">
        <f>(3.26+3.61)/2</f>
        <v>3.4349999999999996</v>
      </c>
      <c r="E18" s="39">
        <v>3.49</v>
      </c>
      <c r="F18" s="82">
        <f>(3.44+3.544)/2</f>
        <v>3.492</v>
      </c>
      <c r="G18" s="39">
        <v>3.55</v>
      </c>
      <c r="H18" s="39">
        <v>3.58</v>
      </c>
      <c r="I18" s="39">
        <v>3.57</v>
      </c>
      <c r="J18" s="39">
        <v>3.47</v>
      </c>
    </row>
    <row r="19" spans="2:21" ht="41.25" customHeight="1" x14ac:dyDescent="0.2">
      <c r="B19" s="739" t="s">
        <v>273</v>
      </c>
      <c r="C19" s="739"/>
      <c r="D19" s="81" t="s">
        <v>213</v>
      </c>
      <c r="E19" s="39" t="s">
        <v>213</v>
      </c>
      <c r="F19" s="82">
        <v>3.49</v>
      </c>
      <c r="G19" s="39">
        <v>3.36</v>
      </c>
      <c r="H19" s="39">
        <v>3.65</v>
      </c>
      <c r="I19" s="39">
        <v>3.5</v>
      </c>
      <c r="J19" s="39">
        <v>3.71</v>
      </c>
    </row>
    <row r="20" spans="2:21" ht="41.25" customHeight="1" x14ac:dyDescent="0.2">
      <c r="B20" s="739" t="s">
        <v>274</v>
      </c>
      <c r="C20" s="739"/>
      <c r="D20" s="81" t="s">
        <v>213</v>
      </c>
      <c r="E20" s="39" t="s">
        <v>213</v>
      </c>
      <c r="F20" s="82">
        <v>3.51</v>
      </c>
      <c r="G20" s="39">
        <v>3.42</v>
      </c>
      <c r="H20" s="39">
        <v>3.38</v>
      </c>
      <c r="I20" s="39">
        <v>3.54</v>
      </c>
      <c r="J20" s="39">
        <v>3.56</v>
      </c>
    </row>
    <row r="21" spans="2:21" ht="41.25" customHeight="1" x14ac:dyDescent="0.2">
      <c r="B21" s="739" t="s">
        <v>224</v>
      </c>
      <c r="C21" s="739"/>
      <c r="D21" s="81">
        <f>(3.11+3.24)/2</f>
        <v>3.1749999999999998</v>
      </c>
      <c r="E21" s="39">
        <v>3.16</v>
      </c>
      <c r="F21" s="82">
        <f>(3.19+3.17)/2</f>
        <v>3.1799999999999997</v>
      </c>
      <c r="G21" s="39">
        <v>3.03</v>
      </c>
      <c r="H21" s="39">
        <v>3.36</v>
      </c>
      <c r="I21" s="39">
        <v>3.35</v>
      </c>
      <c r="J21" s="39">
        <v>3.3</v>
      </c>
    </row>
    <row r="22" spans="2:21" ht="41.25" customHeight="1" x14ac:dyDescent="0.2">
      <c r="B22" s="739" t="s">
        <v>225</v>
      </c>
      <c r="C22" s="739"/>
      <c r="D22" s="81" t="s">
        <v>264</v>
      </c>
      <c r="E22" s="39">
        <v>3.65</v>
      </c>
      <c r="F22" s="82">
        <f>(3.61+3.62)/2</f>
        <v>3.6150000000000002</v>
      </c>
      <c r="G22" s="39" t="s">
        <v>250</v>
      </c>
      <c r="H22" s="39">
        <v>3.53</v>
      </c>
      <c r="I22" s="39">
        <v>3.46</v>
      </c>
      <c r="J22" s="39">
        <v>3.49</v>
      </c>
      <c r="K22" s="16"/>
    </row>
    <row r="23" spans="2:21" ht="41.25" customHeight="1" x14ac:dyDescent="0.2">
      <c r="B23" s="739" t="s">
        <v>226</v>
      </c>
      <c r="C23" s="739"/>
      <c r="D23" s="81">
        <f>(3.38+3.51)/2</f>
        <v>3.4449999999999998</v>
      </c>
      <c r="E23" s="39">
        <v>3.51</v>
      </c>
      <c r="F23" s="82">
        <f>(3.76+3.62)/2</f>
        <v>3.69</v>
      </c>
      <c r="G23" s="39">
        <v>3.55</v>
      </c>
      <c r="H23" s="39">
        <v>3.57</v>
      </c>
      <c r="I23" s="39">
        <v>3.62</v>
      </c>
      <c r="J23" s="39">
        <v>3.61</v>
      </c>
      <c r="K23" s="16"/>
    </row>
    <row r="24" spans="2:21" ht="41.25" customHeight="1" x14ac:dyDescent="0.2">
      <c r="B24" s="739" t="s">
        <v>263</v>
      </c>
      <c r="C24" s="739"/>
      <c r="D24" s="81">
        <f>(3.26+3.62)/2</f>
        <v>3.44</v>
      </c>
      <c r="E24" s="82">
        <v>3.43</v>
      </c>
      <c r="F24" s="82">
        <f>(3.43+3.37)/2</f>
        <v>3.4000000000000004</v>
      </c>
      <c r="G24" s="82">
        <v>4</v>
      </c>
      <c r="H24" s="82">
        <v>3.59</v>
      </c>
      <c r="I24" s="82">
        <v>3.66</v>
      </c>
      <c r="J24" s="82">
        <v>3.56</v>
      </c>
      <c r="K24" s="16"/>
    </row>
    <row r="25" spans="2:21" ht="41.25" customHeight="1" x14ac:dyDescent="0.2">
      <c r="B25" s="739" t="s">
        <v>228</v>
      </c>
      <c r="C25" s="739"/>
      <c r="D25" s="81">
        <f>(3.29+3.55)/2</f>
        <v>3.42</v>
      </c>
      <c r="E25" s="39">
        <v>3.51</v>
      </c>
      <c r="F25" s="82">
        <f>(3.28+3.55)/2</f>
        <v>3.415</v>
      </c>
      <c r="G25" s="39">
        <v>3.53</v>
      </c>
      <c r="H25" s="39">
        <v>3.56</v>
      </c>
      <c r="I25" s="39">
        <v>3.58</v>
      </c>
      <c r="J25" s="39">
        <v>3.56</v>
      </c>
      <c r="K25" s="16"/>
    </row>
    <row r="26" spans="2:21" ht="22.5" customHeight="1" x14ac:dyDescent="0.2">
      <c r="B26" s="732" t="str">
        <f>Índex!$F23</f>
        <v>≥3</v>
      </c>
      <c r="C26" s="732"/>
      <c r="D26" s="46">
        <f t="shared" ref="D26:J26" si="0">COUNTIF(D15:D25,"&gt;="&amp;D28)</f>
        <v>7</v>
      </c>
      <c r="E26" s="46">
        <f t="shared" si="0"/>
        <v>8</v>
      </c>
      <c r="F26" s="46">
        <f t="shared" si="0"/>
        <v>11</v>
      </c>
      <c r="G26" s="46">
        <f t="shared" si="0"/>
        <v>9</v>
      </c>
      <c r="H26" s="46">
        <f t="shared" si="0"/>
        <v>10</v>
      </c>
      <c r="I26" s="46">
        <f t="shared" si="0"/>
        <v>10</v>
      </c>
      <c r="J26" s="46">
        <f t="shared" si="0"/>
        <v>11</v>
      </c>
    </row>
    <row r="27" spans="2:21" ht="22.5" customHeight="1" x14ac:dyDescent="0.2">
      <c r="B27" s="732" t="s">
        <v>276</v>
      </c>
      <c r="C27" s="732"/>
      <c r="D27" s="46">
        <f t="shared" ref="D27:J27" si="1">COUNT(D15:D25)</f>
        <v>7</v>
      </c>
      <c r="E27" s="46">
        <f t="shared" si="1"/>
        <v>8</v>
      </c>
      <c r="F27" s="46">
        <f t="shared" si="1"/>
        <v>11</v>
      </c>
      <c r="G27" s="46">
        <f t="shared" si="1"/>
        <v>9</v>
      </c>
      <c r="H27" s="46">
        <f t="shared" si="1"/>
        <v>10</v>
      </c>
      <c r="I27" s="46">
        <f t="shared" si="1"/>
        <v>10</v>
      </c>
      <c r="J27" s="46">
        <f t="shared" si="1"/>
        <v>11</v>
      </c>
    </row>
    <row r="28" spans="2:21" ht="22.5" customHeight="1" x14ac:dyDescent="0.2">
      <c r="B28" s="732" t="s">
        <v>207</v>
      </c>
      <c r="C28" s="732"/>
      <c r="D28" s="114">
        <v>3</v>
      </c>
      <c r="E28" s="114">
        <v>3</v>
      </c>
      <c r="F28" s="114">
        <v>3</v>
      </c>
      <c r="G28" s="114">
        <v>3</v>
      </c>
      <c r="H28" s="114">
        <v>3</v>
      </c>
      <c r="I28" s="114">
        <v>3</v>
      </c>
      <c r="J28" s="114">
        <v>3</v>
      </c>
      <c r="K28" s="22"/>
      <c r="R28" s="788" t="s">
        <v>470</v>
      </c>
      <c r="S28" s="789"/>
      <c r="T28" s="789"/>
      <c r="U28" s="789"/>
    </row>
    <row r="29" spans="2:21" ht="22.5" customHeight="1" x14ac:dyDescent="0.2">
      <c r="B29" s="730" t="s">
        <v>208</v>
      </c>
      <c r="C29" s="787"/>
      <c r="D29" s="269">
        <f t="shared" ref="D29:J29" si="2">D26/D27</f>
        <v>1</v>
      </c>
      <c r="E29" s="269">
        <f t="shared" si="2"/>
        <v>1</v>
      </c>
      <c r="F29" s="269">
        <f t="shared" si="2"/>
        <v>1</v>
      </c>
      <c r="G29" s="269">
        <f t="shared" si="2"/>
        <v>1</v>
      </c>
      <c r="H29" s="269">
        <f t="shared" si="2"/>
        <v>1</v>
      </c>
      <c r="I29" s="269">
        <f t="shared" si="2"/>
        <v>1</v>
      </c>
      <c r="J29" s="269">
        <f t="shared" si="2"/>
        <v>1</v>
      </c>
      <c r="K29" s="44"/>
      <c r="R29" s="791" t="s">
        <v>490</v>
      </c>
      <c r="S29" s="791"/>
      <c r="T29" s="791"/>
      <c r="U29" s="791"/>
    </row>
    <row r="30" spans="2:21" ht="22.5" customHeight="1" x14ac:dyDescent="0.25">
      <c r="B30" s="7"/>
      <c r="C30" s="7"/>
      <c r="D30" s="6"/>
      <c r="E30" s="6"/>
      <c r="F30" s="6"/>
      <c r="G30" s="6"/>
      <c r="H30" s="6"/>
      <c r="I30" s="6"/>
      <c r="J30" s="6"/>
      <c r="R30" s="791"/>
      <c r="S30" s="791"/>
      <c r="T30" s="791"/>
      <c r="U30" s="791"/>
    </row>
    <row r="31" spans="2:21" ht="22.5" customHeight="1" x14ac:dyDescent="0.2">
      <c r="B31" s="567" t="s">
        <v>469</v>
      </c>
      <c r="C31" s="568"/>
      <c r="D31" s="568"/>
      <c r="E31" s="569"/>
      <c r="F31" s="8"/>
      <c r="R31" s="791"/>
      <c r="S31" s="791"/>
      <c r="T31" s="791"/>
      <c r="U31" s="791"/>
    </row>
    <row r="32" spans="2:21" ht="22.5" customHeight="1" x14ac:dyDescent="0.2">
      <c r="B32" s="8"/>
      <c r="C32" s="8"/>
      <c r="D32" s="8"/>
      <c r="E32" s="8"/>
      <c r="F32" s="8"/>
      <c r="R32" s="791"/>
      <c r="S32" s="791"/>
      <c r="T32" s="791"/>
      <c r="U32" s="791"/>
    </row>
    <row r="33" spans="2:21" ht="6" customHeight="1" x14ac:dyDescent="0.2">
      <c r="B33" s="8"/>
      <c r="C33" s="8"/>
      <c r="D33" s="8"/>
      <c r="E33" s="8"/>
      <c r="F33" s="8"/>
      <c r="R33" s="791"/>
      <c r="S33" s="791"/>
      <c r="T33" s="791"/>
      <c r="U33" s="791"/>
    </row>
    <row r="34" spans="2:21" ht="19.5" customHeight="1" x14ac:dyDescent="0.2">
      <c r="B34" s="8"/>
      <c r="C34" s="8"/>
      <c r="D34" s="8"/>
      <c r="E34" s="8"/>
      <c r="F34" s="8"/>
      <c r="R34" s="791"/>
      <c r="S34" s="791"/>
      <c r="T34" s="791"/>
      <c r="U34" s="791"/>
    </row>
    <row r="35" spans="2:21" ht="19.5" customHeight="1" x14ac:dyDescent="0.2">
      <c r="B35" s="8"/>
      <c r="C35" s="8"/>
      <c r="D35" s="8"/>
      <c r="E35" s="8"/>
      <c r="F35" s="8"/>
      <c r="R35" s="791"/>
      <c r="S35" s="791"/>
      <c r="T35" s="791"/>
      <c r="U35" s="791"/>
    </row>
    <row r="36" spans="2:21" ht="19.5" customHeight="1" x14ac:dyDescent="0.2">
      <c r="B36" s="8"/>
      <c r="C36" s="8"/>
      <c r="D36" s="8"/>
      <c r="E36" s="8"/>
      <c r="F36" s="8"/>
      <c r="R36" s="791"/>
      <c r="S36" s="791"/>
      <c r="T36" s="791"/>
      <c r="U36" s="791"/>
    </row>
    <row r="37" spans="2:21" ht="19.5" customHeight="1" x14ac:dyDescent="0.2">
      <c r="B37" s="8"/>
      <c r="C37" s="8"/>
      <c r="D37" s="8"/>
      <c r="E37" s="8"/>
      <c r="F37" s="8"/>
      <c r="R37" s="791"/>
      <c r="S37" s="791"/>
      <c r="T37" s="791"/>
      <c r="U37" s="791"/>
    </row>
    <row r="38" spans="2:21" ht="19.5" customHeight="1" x14ac:dyDescent="0.2">
      <c r="R38" s="791"/>
      <c r="S38" s="791"/>
      <c r="T38" s="791"/>
      <c r="U38" s="791"/>
    </row>
    <row r="39" spans="2:21" ht="19.5" customHeight="1" x14ac:dyDescent="0.2"/>
    <row r="40" spans="2:21" ht="19.5" customHeight="1" x14ac:dyDescent="0.2"/>
    <row r="41" spans="2:21" ht="19.5" customHeight="1" x14ac:dyDescent="0.2"/>
    <row r="42" spans="2:21" ht="19.5" customHeight="1" x14ac:dyDescent="0.2"/>
    <row r="43" spans="2:21" ht="19.5" customHeight="1" x14ac:dyDescent="0.2">
      <c r="H43" s="559" t="s">
        <v>155</v>
      </c>
      <c r="I43" s="560"/>
      <c r="J43" s="560"/>
    </row>
  </sheetData>
  <sheetProtection formatCells="0" formatColumns="0" formatRows="0" insertColumns="0" insertRows="0" insertHyperlinks="0" deleteColumns="0" deleteRows="0" pivotTables="0"/>
  <mergeCells count="46">
    <mergeCell ref="R28:U28"/>
    <mergeCell ref="R29:U38"/>
    <mergeCell ref="F8:G8"/>
    <mergeCell ref="H8:J8"/>
    <mergeCell ref="D9:E9"/>
    <mergeCell ref="F9:G9"/>
    <mergeCell ref="H9:J9"/>
    <mergeCell ref="B11:J11"/>
    <mergeCell ref="B15:C15"/>
    <mergeCell ref="B17:C17"/>
    <mergeCell ref="B21:C21"/>
    <mergeCell ref="B16:C16"/>
    <mergeCell ref="B18:C18"/>
    <mergeCell ref="B19:C19"/>
    <mergeCell ref="B20:C20"/>
    <mergeCell ref="B9:C9"/>
    <mergeCell ref="H43:J43"/>
    <mergeCell ref="B22:C22"/>
    <mergeCell ref="B26:C26"/>
    <mergeCell ref="B27:C27"/>
    <mergeCell ref="B28:C28"/>
    <mergeCell ref="B29:C29"/>
    <mergeCell ref="B31:E31"/>
    <mergeCell ref="B25:C25"/>
    <mergeCell ref="B23:C23"/>
    <mergeCell ref="B24:C24"/>
    <mergeCell ref="B2:D2"/>
    <mergeCell ref="E2:J2"/>
    <mergeCell ref="B4:C4"/>
    <mergeCell ref="D4:E4"/>
    <mergeCell ref="F4:G4"/>
    <mergeCell ref="H4:J4"/>
    <mergeCell ref="H5:J5"/>
    <mergeCell ref="B7:C7"/>
    <mergeCell ref="D7:E7"/>
    <mergeCell ref="F7:G7"/>
    <mergeCell ref="B6:C6"/>
    <mergeCell ref="D6:E6"/>
    <mergeCell ref="F6:G6"/>
    <mergeCell ref="H6:J6"/>
    <mergeCell ref="H7:J7"/>
    <mergeCell ref="B8:C8"/>
    <mergeCell ref="D8:E8"/>
    <mergeCell ref="B5:C5"/>
    <mergeCell ref="D5:E5"/>
    <mergeCell ref="F5:G5"/>
  </mergeCells>
  <phoneticPr fontId="95" type="noConversion"/>
  <conditionalFormatting sqref="D15:J25">
    <cfRule type="cellIs" dxfId="46" priority="1" operator="between">
      <formula>0</formula>
      <formula>2.7</formula>
    </cfRule>
  </conditionalFormatting>
  <pageMargins left="0.7" right="0.7" top="0.75" bottom="0.75"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16F3E-631F-4EF5-9414-163E839D9E87}">
  <sheetPr>
    <tabColor theme="9" tint="-0.499984740745262"/>
    <pageSetUpPr fitToPage="1"/>
  </sheetPr>
  <dimension ref="B2:R40"/>
  <sheetViews>
    <sheetView showGridLines="0" zoomScale="77" zoomScaleNormal="77" workbookViewId="0">
      <selection activeCell="N4" sqref="N4"/>
    </sheetView>
  </sheetViews>
  <sheetFormatPr defaultColWidth="12.5703125" defaultRowHeight="15.75" customHeight="1" x14ac:dyDescent="0.2"/>
  <cols>
    <col min="1" max="1" width="3.42578125" customWidth="1"/>
    <col min="2" max="2" width="14.140625" customWidth="1"/>
    <col min="3" max="3" width="26.5703125" customWidth="1"/>
    <col min="4" max="4" width="17.28515625" bestFit="1" customWidth="1"/>
    <col min="5" max="6" width="12.5703125" customWidth="1"/>
    <col min="7" max="7" width="18.85546875" customWidth="1"/>
    <col min="8" max="10" width="12.5703125" customWidth="1"/>
    <col min="11" max="11" width="36.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62.25" customHeight="1" x14ac:dyDescent="0.2">
      <c r="B4" s="567" t="s">
        <v>193</v>
      </c>
      <c r="C4" s="569"/>
      <c r="D4" s="718" t="str">
        <f>Índex!B24</f>
        <v>PC2.01_Ind04</v>
      </c>
      <c r="E4" s="716"/>
      <c r="F4" s="567" t="s">
        <v>194</v>
      </c>
      <c r="G4" s="569"/>
      <c r="H4" s="781" t="str">
        <f>Índex!C24</f>
        <v xml:space="preserve">Valoració mitjana a l’afirmació “Fins ara s’ha seguit la programació de l’assignatura que s’explica a la guia docent dels Màsters"  </v>
      </c>
      <c r="I4" s="782"/>
      <c r="J4" s="783"/>
    </row>
    <row r="5" spans="2:10" ht="22.5" customHeight="1" x14ac:dyDescent="0.2">
      <c r="B5" s="567" t="s">
        <v>195</v>
      </c>
      <c r="C5" s="569"/>
      <c r="D5" s="718" t="str">
        <f>Índex!F24</f>
        <v>≥3</v>
      </c>
      <c r="E5" s="716"/>
      <c r="F5" s="567" t="s">
        <v>196</v>
      </c>
      <c r="G5" s="569"/>
      <c r="H5" s="781" t="s">
        <v>197</v>
      </c>
      <c r="I5" s="782"/>
      <c r="J5" s="783"/>
    </row>
    <row r="6" spans="2:10" ht="45" customHeight="1" x14ac:dyDescent="0.2">
      <c r="B6" s="567" t="s">
        <v>471</v>
      </c>
      <c r="C6" s="569"/>
      <c r="D6" s="718" t="str">
        <f>Índex!H24</f>
        <v>Objectiu de Qualitat. Grups d'interès</v>
      </c>
      <c r="E6" s="716"/>
      <c r="F6" s="567" t="s">
        <v>462</v>
      </c>
      <c r="G6" s="569"/>
      <c r="H6" s="781"/>
      <c r="I6" s="782"/>
      <c r="J6" s="783"/>
    </row>
    <row r="7" spans="2:10" ht="22.5" customHeight="1" x14ac:dyDescent="0.2">
      <c r="B7" s="567" t="s">
        <v>463</v>
      </c>
      <c r="C7" s="569"/>
      <c r="D7" s="718"/>
      <c r="E7" s="716"/>
      <c r="F7" s="567" t="s">
        <v>464</v>
      </c>
      <c r="G7" s="569"/>
      <c r="H7" s="781" t="s">
        <v>198</v>
      </c>
      <c r="I7" s="782"/>
      <c r="J7" s="783"/>
    </row>
    <row r="8" spans="2:10" ht="34.5" customHeight="1" x14ac:dyDescent="0.2">
      <c r="B8" s="567" t="s">
        <v>465</v>
      </c>
      <c r="C8" s="569"/>
      <c r="D8" s="718" t="str">
        <f>Índex!D24</f>
        <v xml:space="preserve"> Vicedegana d'Afers Acadèmics de Grau</v>
      </c>
      <c r="E8" s="716"/>
      <c r="F8" s="567" t="s">
        <v>472</v>
      </c>
      <c r="G8" s="569"/>
      <c r="H8" s="781" t="str">
        <f>Índex!E24</f>
        <v>Gestora de Qualitat</v>
      </c>
      <c r="I8" s="782"/>
      <c r="J8" s="783"/>
    </row>
    <row r="9" spans="2:10" ht="82.5" customHeight="1" x14ac:dyDescent="0.2">
      <c r="B9" s="567" t="s">
        <v>461</v>
      </c>
      <c r="C9" s="569"/>
      <c r="D9" s="778" t="str">
        <f>Índex!G24</f>
        <v>PC2.01. Planificació i Programació d’Assignatures. Guies Docents</v>
      </c>
      <c r="E9" s="780"/>
      <c r="F9" s="796" t="s">
        <v>467</v>
      </c>
      <c r="G9" s="797"/>
      <c r="H9" s="778" t="s">
        <v>489</v>
      </c>
      <c r="I9" s="779"/>
      <c r="J9" s="780"/>
    </row>
    <row r="10" spans="2:10" ht="21.75" customHeight="1" x14ac:dyDescent="0.2"/>
    <row r="11" spans="2:10" ht="7.5" customHeight="1" x14ac:dyDescent="0.2"/>
    <row r="12" spans="2:10" ht="22.5" customHeight="1" x14ac:dyDescent="0.2">
      <c r="B12" s="567" t="s">
        <v>468</v>
      </c>
      <c r="C12" s="568"/>
      <c r="D12" s="568"/>
      <c r="E12" s="568"/>
      <c r="F12" s="568"/>
      <c r="G12" s="568"/>
      <c r="H12" s="568"/>
      <c r="I12" s="568"/>
      <c r="J12" s="569"/>
    </row>
    <row r="13" spans="2:10" ht="22.5" customHeight="1" x14ac:dyDescent="0.2">
      <c r="B13" s="13"/>
      <c r="C13" s="12"/>
      <c r="D13" s="12"/>
      <c r="E13" s="12"/>
      <c r="F13" s="12"/>
      <c r="G13" s="12"/>
      <c r="H13" s="12"/>
      <c r="I13" s="12"/>
      <c r="J13" s="12"/>
    </row>
    <row r="14" spans="2:10" ht="22.5" customHeight="1" x14ac:dyDescent="0.2"/>
    <row r="15" spans="2:10" ht="22.5" customHeight="1" x14ac:dyDescent="0.2">
      <c r="B15" s="14"/>
      <c r="C15" s="14"/>
      <c r="D15" s="84" t="s">
        <v>200</v>
      </c>
      <c r="E15" s="84" t="s">
        <v>201</v>
      </c>
      <c r="F15" s="84" t="s">
        <v>202</v>
      </c>
      <c r="G15" s="84" t="s">
        <v>203</v>
      </c>
      <c r="H15" s="84" t="s">
        <v>204</v>
      </c>
      <c r="I15" s="84" t="s">
        <v>205</v>
      </c>
      <c r="J15" s="84" t="s">
        <v>256</v>
      </c>
    </row>
    <row r="16" spans="2:10" ht="51.75" customHeight="1" x14ac:dyDescent="0.2">
      <c r="B16" s="739" t="s">
        <v>278</v>
      </c>
      <c r="C16" s="739"/>
      <c r="D16" s="81">
        <f>(3.64+3.45)/2</f>
        <v>3.5449999999999999</v>
      </c>
      <c r="E16" s="39">
        <v>3.3</v>
      </c>
      <c r="F16" s="82" t="s">
        <v>264</v>
      </c>
      <c r="G16" s="82" t="s">
        <v>264</v>
      </c>
      <c r="H16" s="82">
        <v>3.89</v>
      </c>
      <c r="I16" s="82">
        <v>3.49</v>
      </c>
      <c r="J16" s="82">
        <v>3.64</v>
      </c>
    </row>
    <row r="17" spans="2:18" ht="38.25" customHeight="1" x14ac:dyDescent="0.2">
      <c r="B17" s="739" t="s">
        <v>266</v>
      </c>
      <c r="C17" s="739"/>
      <c r="D17" s="81">
        <f>(3.44+3)/2</f>
        <v>3.2199999999999998</v>
      </c>
      <c r="E17" s="39">
        <v>3.47</v>
      </c>
      <c r="F17" s="82">
        <v>3.64</v>
      </c>
      <c r="G17" s="82">
        <v>3.64</v>
      </c>
      <c r="H17" s="82">
        <v>3.83</v>
      </c>
      <c r="I17" s="82">
        <v>3.8</v>
      </c>
      <c r="J17" s="82">
        <v>3.48</v>
      </c>
    </row>
    <row r="18" spans="2:18" ht="43.5" customHeight="1" x14ac:dyDescent="0.2">
      <c r="B18" s="739" t="s">
        <v>492</v>
      </c>
      <c r="C18" s="739"/>
      <c r="D18" s="82">
        <v>4</v>
      </c>
      <c r="E18" s="39">
        <v>3.61</v>
      </c>
      <c r="F18" s="82">
        <f>(3.85+3.67)/2</f>
        <v>3.76</v>
      </c>
      <c r="G18" s="82">
        <f>(4+3.75)/2</f>
        <v>3.875</v>
      </c>
      <c r="H18" s="82">
        <v>3.72</v>
      </c>
      <c r="I18" s="82">
        <v>3.72</v>
      </c>
      <c r="J18" s="82">
        <v>3.63</v>
      </c>
    </row>
    <row r="19" spans="2:18" ht="48.75" customHeight="1" x14ac:dyDescent="0.2">
      <c r="B19" s="739" t="s">
        <v>244</v>
      </c>
      <c r="C19" s="739"/>
      <c r="D19" s="81">
        <v>3.21</v>
      </c>
      <c r="E19" s="39">
        <v>3.52</v>
      </c>
      <c r="F19" s="82">
        <v>3.39</v>
      </c>
      <c r="G19" s="82">
        <v>2.86</v>
      </c>
      <c r="H19" s="82" t="s">
        <v>213</v>
      </c>
      <c r="I19" s="82" t="s">
        <v>213</v>
      </c>
      <c r="J19" s="82" t="s">
        <v>282</v>
      </c>
    </row>
    <row r="20" spans="2:18" ht="55.5" customHeight="1" x14ac:dyDescent="0.2">
      <c r="B20" s="739" t="s">
        <v>269</v>
      </c>
      <c r="C20" s="739"/>
      <c r="D20" s="82" t="s">
        <v>213</v>
      </c>
      <c r="E20" s="39">
        <v>3.5</v>
      </c>
      <c r="F20" s="82" t="s">
        <v>264</v>
      </c>
      <c r="G20" s="82" t="s">
        <v>264</v>
      </c>
      <c r="H20" s="82">
        <v>3.05</v>
      </c>
      <c r="I20" s="82">
        <v>3.46</v>
      </c>
      <c r="J20" s="82">
        <v>3.64</v>
      </c>
      <c r="K20" s="16"/>
    </row>
    <row r="21" spans="2:18" ht="55.5" customHeight="1" x14ac:dyDescent="0.2">
      <c r="B21" s="739" t="s">
        <v>271</v>
      </c>
      <c r="C21" s="739"/>
      <c r="D21" s="82">
        <v>2.5</v>
      </c>
      <c r="E21" s="39">
        <v>3.44</v>
      </c>
      <c r="F21" s="82" t="s">
        <v>264</v>
      </c>
      <c r="G21" s="82" t="s">
        <v>264</v>
      </c>
      <c r="H21" s="82" t="s">
        <v>213</v>
      </c>
      <c r="I21" s="82">
        <v>3.88</v>
      </c>
      <c r="J21" s="82">
        <v>3.19</v>
      </c>
      <c r="K21" s="16"/>
    </row>
    <row r="22" spans="2:18" ht="45.75" customHeight="1" x14ac:dyDescent="0.2">
      <c r="B22" s="739" t="s">
        <v>270</v>
      </c>
      <c r="C22" s="739"/>
      <c r="D22" s="82" t="s">
        <v>213</v>
      </c>
      <c r="E22" s="39">
        <v>3.38</v>
      </c>
      <c r="F22" s="82" t="s">
        <v>264</v>
      </c>
      <c r="G22" s="82" t="s">
        <v>264</v>
      </c>
      <c r="H22" s="82" t="s">
        <v>213</v>
      </c>
      <c r="I22" s="82">
        <v>3.5</v>
      </c>
      <c r="J22" s="82">
        <v>3.63</v>
      </c>
      <c r="K22" s="20"/>
    </row>
    <row r="23" spans="2:18" ht="22.5" customHeight="1" x14ac:dyDescent="0.2">
      <c r="B23" s="732" t="str">
        <f>D5</f>
        <v>≥3</v>
      </c>
      <c r="C23" s="732"/>
      <c r="D23" s="46">
        <f t="shared" ref="D23:J23" si="0">COUNTIF(D16:D22,"&gt;="&amp;D25)</f>
        <v>4</v>
      </c>
      <c r="E23" s="46">
        <f t="shared" si="0"/>
        <v>7</v>
      </c>
      <c r="F23" s="46">
        <f t="shared" si="0"/>
        <v>3</v>
      </c>
      <c r="G23" s="46">
        <f t="shared" si="0"/>
        <v>2</v>
      </c>
      <c r="H23" s="46">
        <f t="shared" si="0"/>
        <v>4</v>
      </c>
      <c r="I23" s="46">
        <f t="shared" si="0"/>
        <v>6</v>
      </c>
      <c r="J23" s="46">
        <f t="shared" si="0"/>
        <v>6</v>
      </c>
    </row>
    <row r="24" spans="2:18" ht="22.5" customHeight="1" x14ac:dyDescent="0.2">
      <c r="B24" s="734" t="s">
        <v>248</v>
      </c>
      <c r="C24" s="734"/>
      <c r="D24" s="46">
        <f t="shared" ref="D24:J24" si="1">COUNT(D16:D22)</f>
        <v>5</v>
      </c>
      <c r="E24" s="46">
        <f t="shared" si="1"/>
        <v>7</v>
      </c>
      <c r="F24" s="46">
        <f t="shared" si="1"/>
        <v>3</v>
      </c>
      <c r="G24" s="46">
        <f t="shared" si="1"/>
        <v>3</v>
      </c>
      <c r="H24" s="46">
        <f t="shared" si="1"/>
        <v>4</v>
      </c>
      <c r="I24" s="46">
        <f t="shared" si="1"/>
        <v>6</v>
      </c>
      <c r="J24" s="46">
        <f t="shared" si="1"/>
        <v>6</v>
      </c>
    </row>
    <row r="25" spans="2:18" ht="22.5" customHeight="1" x14ac:dyDescent="0.2">
      <c r="B25" s="730" t="s">
        <v>207</v>
      </c>
      <c r="C25" s="787"/>
      <c r="D25" s="56">
        <v>3</v>
      </c>
      <c r="E25" s="56">
        <v>3</v>
      </c>
      <c r="F25" s="56">
        <v>3</v>
      </c>
      <c r="G25" s="56">
        <v>3</v>
      </c>
      <c r="H25" s="56">
        <v>3</v>
      </c>
      <c r="I25" s="56">
        <v>3</v>
      </c>
      <c r="J25" s="56">
        <v>3</v>
      </c>
      <c r="K25" s="22"/>
    </row>
    <row r="26" spans="2:18" ht="22.5" customHeight="1" x14ac:dyDescent="0.2">
      <c r="B26" s="730" t="s">
        <v>208</v>
      </c>
      <c r="C26" s="787"/>
      <c r="D26" s="269">
        <f t="shared" ref="D26:J26" si="2">D23/D24</f>
        <v>0.8</v>
      </c>
      <c r="E26" s="269">
        <f t="shared" si="2"/>
        <v>1</v>
      </c>
      <c r="F26" s="269">
        <f t="shared" si="2"/>
        <v>1</v>
      </c>
      <c r="G26" s="269">
        <f t="shared" si="2"/>
        <v>0.66666666666666663</v>
      </c>
      <c r="H26" s="269">
        <f t="shared" si="2"/>
        <v>1</v>
      </c>
      <c r="I26" s="269">
        <f t="shared" si="2"/>
        <v>1</v>
      </c>
      <c r="J26" s="269">
        <f t="shared" si="2"/>
        <v>1</v>
      </c>
      <c r="K26" s="44"/>
    </row>
    <row r="27" spans="2:18" ht="22.5" customHeight="1" x14ac:dyDescent="0.25">
      <c r="B27" s="7"/>
      <c r="C27" s="7"/>
      <c r="D27" s="6"/>
      <c r="E27" s="6"/>
      <c r="F27" s="6"/>
      <c r="G27" s="6"/>
      <c r="H27" s="6"/>
      <c r="I27" s="6"/>
      <c r="O27" s="793" t="s">
        <v>470</v>
      </c>
      <c r="P27" s="794"/>
      <c r="Q27" s="794"/>
      <c r="R27" s="795"/>
    </row>
    <row r="28" spans="2:18" ht="22.5" customHeight="1" x14ac:dyDescent="0.2">
      <c r="B28" s="567" t="s">
        <v>469</v>
      </c>
      <c r="C28" s="568"/>
      <c r="D28" s="568"/>
      <c r="E28" s="569"/>
      <c r="F28" s="8"/>
      <c r="O28" s="792" t="s">
        <v>491</v>
      </c>
      <c r="P28" s="792"/>
      <c r="Q28" s="792"/>
      <c r="R28" s="792"/>
    </row>
    <row r="29" spans="2:18" ht="51.75" customHeight="1" x14ac:dyDescent="0.2">
      <c r="B29" s="8"/>
      <c r="C29" s="8"/>
      <c r="D29" s="8"/>
      <c r="E29" s="8"/>
      <c r="F29" s="8"/>
      <c r="O29" s="792"/>
      <c r="P29" s="792"/>
      <c r="Q29" s="792"/>
      <c r="R29" s="792"/>
    </row>
    <row r="30" spans="2:18" ht="6" customHeight="1" x14ac:dyDescent="0.2">
      <c r="B30" s="8"/>
      <c r="C30" s="8"/>
      <c r="D30" s="8"/>
      <c r="E30" s="8"/>
      <c r="F30" s="8"/>
      <c r="O30" s="792"/>
      <c r="P30" s="792"/>
      <c r="Q30" s="792"/>
      <c r="R30" s="792"/>
    </row>
    <row r="31" spans="2:18" ht="19.5" customHeight="1" x14ac:dyDescent="0.2">
      <c r="B31" s="8"/>
      <c r="C31" s="8"/>
      <c r="D31" s="8"/>
      <c r="E31" s="8"/>
      <c r="F31" s="8"/>
      <c r="O31" s="792"/>
      <c r="P31" s="792"/>
      <c r="Q31" s="792"/>
      <c r="R31" s="792"/>
    </row>
    <row r="32" spans="2:18" ht="19.5" customHeight="1" x14ac:dyDescent="0.2">
      <c r="B32" s="8"/>
      <c r="C32" s="8"/>
      <c r="D32" s="8"/>
      <c r="E32" s="8"/>
      <c r="F32" s="8"/>
      <c r="O32" s="792"/>
      <c r="P32" s="792"/>
      <c r="Q32" s="792"/>
      <c r="R32" s="792"/>
    </row>
    <row r="33" spans="2:18" ht="19.5" customHeight="1" x14ac:dyDescent="0.2">
      <c r="B33" s="8"/>
      <c r="C33" s="8"/>
      <c r="D33" s="8"/>
      <c r="E33" s="8"/>
      <c r="F33" s="8"/>
      <c r="O33" s="792"/>
      <c r="P33" s="792"/>
      <c r="Q33" s="792"/>
      <c r="R33" s="792"/>
    </row>
    <row r="34" spans="2:18" ht="19.5" customHeight="1" x14ac:dyDescent="0.2">
      <c r="B34" s="8"/>
      <c r="C34" s="8"/>
      <c r="D34" s="8"/>
      <c r="E34" s="8"/>
      <c r="F34" s="8"/>
      <c r="O34" s="792"/>
      <c r="P34" s="792"/>
      <c r="Q34" s="792"/>
      <c r="R34" s="792"/>
    </row>
    <row r="35" spans="2:18" ht="19.5" customHeight="1" x14ac:dyDescent="0.2">
      <c r="B35" s="8"/>
      <c r="C35" s="8"/>
      <c r="D35" s="8"/>
      <c r="E35" s="8"/>
      <c r="F35" s="8"/>
      <c r="O35" s="792"/>
      <c r="P35" s="792"/>
      <c r="Q35" s="792"/>
      <c r="R35" s="792"/>
    </row>
    <row r="36" spans="2:18" ht="19.5" customHeight="1" x14ac:dyDescent="0.2">
      <c r="O36" s="792"/>
      <c r="P36" s="792"/>
      <c r="Q36" s="792"/>
      <c r="R36" s="792"/>
    </row>
    <row r="37" spans="2:18" ht="19.5" customHeight="1" x14ac:dyDescent="0.2">
      <c r="O37" s="792"/>
      <c r="P37" s="792"/>
      <c r="Q37" s="792"/>
      <c r="R37" s="792"/>
    </row>
    <row r="38" spans="2:18" ht="19.5" customHeight="1" x14ac:dyDescent="0.2"/>
    <row r="39" spans="2:18" ht="19.5" customHeight="1" x14ac:dyDescent="0.2"/>
    <row r="40" spans="2:18" ht="19.5" customHeight="1" x14ac:dyDescent="0.2">
      <c r="H40" s="242" t="s">
        <v>155</v>
      </c>
    </row>
  </sheetData>
  <sheetProtection formatCells="0" formatColumns="0" formatRows="0" insertColumns="0" insertRows="0" insertHyperlinks="0" deleteColumns="0" deleteRows="0" pivotTables="0"/>
  <mergeCells count="41">
    <mergeCell ref="O28:R37"/>
    <mergeCell ref="O27:R27"/>
    <mergeCell ref="B21:C21"/>
    <mergeCell ref="B8:C8"/>
    <mergeCell ref="D8:E8"/>
    <mergeCell ref="F8:G8"/>
    <mergeCell ref="H8:J8"/>
    <mergeCell ref="D9:E9"/>
    <mergeCell ref="F9:G9"/>
    <mergeCell ref="H9:J9"/>
    <mergeCell ref="B26:C26"/>
    <mergeCell ref="B28:E28"/>
    <mergeCell ref="B12:J12"/>
    <mergeCell ref="B9:C9"/>
    <mergeCell ref="B25:C25"/>
    <mergeCell ref="B16:C16"/>
    <mergeCell ref="B23:C23"/>
    <mergeCell ref="B24:C24"/>
    <mergeCell ref="B5:C5"/>
    <mergeCell ref="D5:E5"/>
    <mergeCell ref="F5:G5"/>
    <mergeCell ref="B17:C17"/>
    <mergeCell ref="B18:C18"/>
    <mergeCell ref="B19:C19"/>
    <mergeCell ref="B20:C20"/>
    <mergeCell ref="B22:C22"/>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phoneticPr fontId="25" type="noConversion"/>
  <conditionalFormatting sqref="D16:J22">
    <cfRule type="cellIs" dxfId="45" priority="1" operator="between">
      <formula>0</formula>
      <formula>2.7</formula>
    </cfRule>
  </conditionalFormatting>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A62B-3031-4709-8D83-8C8EF6A8D478}">
  <sheetPr>
    <tabColor theme="9" tint="-0.499984740745262"/>
    <pageSetUpPr fitToPage="1"/>
  </sheetPr>
  <dimension ref="B2:O31"/>
  <sheetViews>
    <sheetView showGridLines="0" workbookViewId="0">
      <selection activeCell="H9" sqref="H9:J9"/>
    </sheetView>
  </sheetViews>
  <sheetFormatPr defaultColWidth="12.5703125" defaultRowHeight="15.75" customHeight="1" x14ac:dyDescent="0.2"/>
  <cols>
    <col min="1" max="1" width="3.42578125" customWidth="1"/>
    <col min="2" max="2" width="14.140625" customWidth="1"/>
    <col min="3" max="3" width="23" customWidth="1"/>
    <col min="4" max="6" width="12.5703125" customWidth="1"/>
    <col min="7" max="7" width="15.5703125" customWidth="1"/>
    <col min="8" max="9" width="12.5703125" customWidth="1"/>
    <col min="10" max="10" width="17.42578125" bestFit="1" customWidth="1"/>
    <col min="11" max="13" width="8.85546875" customWidth="1"/>
    <col min="14" max="23" width="7.5703125" customWidth="1"/>
  </cols>
  <sheetData>
    <row r="2" spans="2:10" ht="55.5" customHeight="1" x14ac:dyDescent="0.25">
      <c r="B2" s="588"/>
      <c r="C2" s="589"/>
      <c r="D2" s="565"/>
      <c r="E2" s="590" t="s">
        <v>192</v>
      </c>
      <c r="F2" s="589"/>
      <c r="G2" s="589"/>
      <c r="H2" s="589"/>
      <c r="I2" s="589"/>
      <c r="J2" s="565"/>
    </row>
    <row r="3" spans="2:10" ht="22.5" customHeight="1" x14ac:dyDescent="0.25">
      <c r="B3" s="177"/>
      <c r="C3" s="177"/>
      <c r="D3" s="178"/>
      <c r="E3" s="178"/>
      <c r="F3" s="178"/>
      <c r="G3" s="178"/>
      <c r="H3" s="178"/>
      <c r="I3" s="178"/>
      <c r="J3" s="175"/>
    </row>
    <row r="4" spans="2:10" ht="53.25" customHeight="1" x14ac:dyDescent="0.25">
      <c r="B4" s="561" t="s">
        <v>193</v>
      </c>
      <c r="C4" s="563"/>
      <c r="D4" s="587" t="str">
        <f>Índex!B7</f>
        <v>PE1.01_Ind01.</v>
      </c>
      <c r="E4" s="565"/>
      <c r="F4" s="561" t="s">
        <v>194</v>
      </c>
      <c r="G4" s="563"/>
      <c r="H4" s="587" t="str">
        <f>Índex!C7</f>
        <v>Percentatge d’assoliment dels objectius associats als indicadors del quadre de comandament.</v>
      </c>
      <c r="I4" s="589"/>
      <c r="J4" s="565"/>
    </row>
    <row r="5" spans="2:10" ht="22.5" customHeight="1" x14ac:dyDescent="0.25">
      <c r="B5" s="561" t="s">
        <v>195</v>
      </c>
      <c r="C5" s="563"/>
      <c r="D5" s="583">
        <f>Índex!F7</f>
        <v>0.8</v>
      </c>
      <c r="E5" s="591"/>
      <c r="F5" s="585" t="s">
        <v>196</v>
      </c>
      <c r="G5" s="563"/>
      <c r="H5" s="592" t="s">
        <v>197</v>
      </c>
      <c r="I5" s="593"/>
      <c r="J5" s="594"/>
    </row>
    <row r="6" spans="2:10" ht="36.75" customHeight="1" x14ac:dyDescent="0.25">
      <c r="B6" s="561" t="s">
        <v>471</v>
      </c>
      <c r="C6" s="582"/>
      <c r="D6" s="583" t="str">
        <f>Índex!H7</f>
        <v>Objectiu de Qualitat. Cultura de Qualitat</v>
      </c>
      <c r="E6" s="584"/>
      <c r="F6" s="585" t="s">
        <v>462</v>
      </c>
      <c r="G6" s="586"/>
      <c r="H6" s="579"/>
      <c r="I6" s="580"/>
      <c r="J6" s="581"/>
    </row>
    <row r="7" spans="2:10" ht="22.5" customHeight="1" x14ac:dyDescent="0.25">
      <c r="B7" s="561" t="s">
        <v>463</v>
      </c>
      <c r="C7" s="582"/>
      <c r="D7" s="583"/>
      <c r="E7" s="584"/>
      <c r="F7" s="585" t="s">
        <v>464</v>
      </c>
      <c r="G7" s="586"/>
      <c r="H7" s="579" t="s">
        <v>198</v>
      </c>
      <c r="I7" s="580"/>
      <c r="J7" s="581"/>
    </row>
    <row r="8" spans="2:10" ht="22.5" customHeight="1" x14ac:dyDescent="0.25">
      <c r="B8" s="561" t="s">
        <v>465</v>
      </c>
      <c r="C8" s="563"/>
      <c r="D8" s="587" t="str">
        <f>Índex!D7</f>
        <v>Degà</v>
      </c>
      <c r="E8" s="565"/>
      <c r="F8" s="561" t="s">
        <v>466</v>
      </c>
      <c r="G8" s="562"/>
      <c r="H8" s="579" t="str">
        <f>Índex!E7</f>
        <v>Gestora de Qualitat</v>
      </c>
      <c r="I8" s="580"/>
      <c r="J8" s="581"/>
    </row>
    <row r="9" spans="2:10" ht="30.75" customHeight="1" x14ac:dyDescent="0.25">
      <c r="B9" s="561" t="s">
        <v>461</v>
      </c>
      <c r="C9" s="563"/>
      <c r="D9" s="587" t="str">
        <f>Índex!G7</f>
        <v xml:space="preserve"> PE1.01. Definició de la Política de Qualitat</v>
      </c>
      <c r="E9" s="565"/>
      <c r="F9" s="561" t="s">
        <v>467</v>
      </c>
      <c r="G9" s="562"/>
      <c r="H9" s="579" t="s">
        <v>588</v>
      </c>
      <c r="I9" s="580"/>
      <c r="J9" s="581"/>
    </row>
    <row r="10" spans="2:10" ht="7.5" customHeight="1" x14ac:dyDescent="0.25">
      <c r="B10" s="175"/>
      <c r="C10" s="175"/>
      <c r="D10" s="175"/>
      <c r="E10" s="175"/>
      <c r="F10" s="175"/>
      <c r="G10" s="175"/>
      <c r="H10" s="175"/>
      <c r="I10" s="175"/>
      <c r="J10" s="175"/>
    </row>
    <row r="11" spans="2:10" ht="7.5" customHeight="1" x14ac:dyDescent="0.25">
      <c r="B11" s="175"/>
      <c r="C11" s="175"/>
      <c r="D11" s="175"/>
      <c r="E11" s="175"/>
      <c r="F11" s="175"/>
      <c r="G11" s="175"/>
      <c r="H11" s="175"/>
      <c r="I11" s="175"/>
      <c r="J11" s="175"/>
    </row>
    <row r="12" spans="2:10" ht="22.5" customHeight="1" x14ac:dyDescent="0.25">
      <c r="B12" s="561" t="s">
        <v>468</v>
      </c>
      <c r="C12" s="562"/>
      <c r="D12" s="562"/>
      <c r="E12" s="562"/>
      <c r="F12" s="562"/>
      <c r="G12" s="562"/>
      <c r="H12" s="562"/>
      <c r="I12" s="562"/>
      <c r="J12" s="563"/>
    </row>
    <row r="13" spans="2:10" ht="22.5" customHeight="1" x14ac:dyDescent="0.25">
      <c r="B13" s="179"/>
      <c r="C13" s="179"/>
      <c r="D13" s="179"/>
      <c r="E13" s="179"/>
      <c r="F13" s="179"/>
      <c r="G13" s="179"/>
      <c r="H13" s="179"/>
      <c r="I13" s="179"/>
      <c r="J13" s="179"/>
    </row>
    <row r="14" spans="2:10" ht="22.5" customHeight="1" x14ac:dyDescent="0.25">
      <c r="B14" s="179"/>
      <c r="C14" s="179"/>
      <c r="D14" s="180" t="s">
        <v>200</v>
      </c>
      <c r="E14" s="180" t="s">
        <v>201</v>
      </c>
      <c r="F14" s="180" t="s">
        <v>202</v>
      </c>
      <c r="G14" s="180" t="s">
        <v>203</v>
      </c>
      <c r="H14" s="180" t="s">
        <v>204</v>
      </c>
      <c r="I14" s="180" t="s">
        <v>205</v>
      </c>
      <c r="J14" s="180" t="s">
        <v>256</v>
      </c>
    </row>
    <row r="15" spans="2:10" ht="23.25" customHeight="1" x14ac:dyDescent="0.25">
      <c r="B15" s="564" t="s">
        <v>206</v>
      </c>
      <c r="C15" s="565"/>
      <c r="D15" s="181">
        <v>0.44</v>
      </c>
      <c r="E15" s="181">
        <v>0.57999999999999996</v>
      </c>
      <c r="F15" s="181">
        <v>0.53</v>
      </c>
      <c r="G15" s="181">
        <v>0.32</v>
      </c>
      <c r="H15" s="181">
        <v>0.88260000000000005</v>
      </c>
      <c r="I15" s="181">
        <v>0.81310000000000004</v>
      </c>
      <c r="J15" s="181">
        <v>0.89</v>
      </c>
    </row>
    <row r="16" spans="2:10" ht="22.5" customHeight="1" x14ac:dyDescent="0.25">
      <c r="B16" s="566" t="s">
        <v>207</v>
      </c>
      <c r="C16" s="565"/>
      <c r="D16" s="181">
        <f t="shared" ref="D16:J16" si="0">$D$5</f>
        <v>0.8</v>
      </c>
      <c r="E16" s="181">
        <f t="shared" si="0"/>
        <v>0.8</v>
      </c>
      <c r="F16" s="181">
        <f t="shared" si="0"/>
        <v>0.8</v>
      </c>
      <c r="G16" s="181">
        <f t="shared" si="0"/>
        <v>0.8</v>
      </c>
      <c r="H16" s="181">
        <f t="shared" si="0"/>
        <v>0.8</v>
      </c>
      <c r="I16" s="181">
        <f t="shared" si="0"/>
        <v>0.8</v>
      </c>
      <c r="J16" s="181">
        <f t="shared" si="0"/>
        <v>0.8</v>
      </c>
    </row>
    <row r="17" spans="2:15" ht="22.5" customHeight="1" x14ac:dyDescent="0.25">
      <c r="B17" s="566" t="s">
        <v>208</v>
      </c>
      <c r="C17" s="565"/>
      <c r="D17" s="181">
        <f t="shared" ref="D17:J17" si="1">D15/D16</f>
        <v>0.54999999999999993</v>
      </c>
      <c r="E17" s="181">
        <f t="shared" si="1"/>
        <v>0.72499999999999987</v>
      </c>
      <c r="F17" s="181">
        <f t="shared" si="1"/>
        <v>0.66249999999999998</v>
      </c>
      <c r="G17" s="181">
        <f t="shared" si="1"/>
        <v>0.39999999999999997</v>
      </c>
      <c r="H17" s="181">
        <f t="shared" si="1"/>
        <v>1.1032500000000001</v>
      </c>
      <c r="I17" s="181">
        <f t="shared" si="1"/>
        <v>1.016375</v>
      </c>
      <c r="J17" s="181">
        <f t="shared" si="1"/>
        <v>1.1125</v>
      </c>
    </row>
    <row r="18" spans="2:15" ht="9.75" customHeight="1" x14ac:dyDescent="0.25">
      <c r="B18" s="7"/>
      <c r="C18" s="7"/>
      <c r="D18" s="6"/>
      <c r="E18" s="6"/>
      <c r="F18" s="6"/>
      <c r="G18" s="6"/>
      <c r="H18" s="6"/>
      <c r="I18" s="6"/>
      <c r="J18" s="6"/>
    </row>
    <row r="19" spans="2:15" ht="22.5" customHeight="1" x14ac:dyDescent="0.2">
      <c r="B19" s="567" t="s">
        <v>469</v>
      </c>
      <c r="C19" s="568"/>
      <c r="D19" s="568"/>
      <c r="E19" s="569"/>
      <c r="F19" s="8"/>
    </row>
    <row r="20" spans="2:15" ht="15.75" customHeight="1" x14ac:dyDescent="0.2">
      <c r="L20" s="567" t="s">
        <v>470</v>
      </c>
      <c r="M20" s="568"/>
      <c r="N20" s="568"/>
      <c r="O20" s="569"/>
    </row>
    <row r="21" spans="2:15" ht="22.5" customHeight="1" x14ac:dyDescent="0.2">
      <c r="L21" s="570" t="s">
        <v>155</v>
      </c>
      <c r="M21" s="571"/>
      <c r="N21" s="571"/>
      <c r="O21" s="572"/>
    </row>
    <row r="22" spans="2:15" ht="22.5" customHeight="1" x14ac:dyDescent="0.2">
      <c r="L22" s="573"/>
      <c r="M22" s="574"/>
      <c r="N22" s="574"/>
      <c r="O22" s="575"/>
    </row>
    <row r="23" spans="2:15" ht="22.5" customHeight="1" x14ac:dyDescent="0.2">
      <c r="L23" s="573"/>
      <c r="M23" s="574"/>
      <c r="N23" s="574"/>
      <c r="O23" s="575"/>
    </row>
    <row r="24" spans="2:15" ht="22.5" customHeight="1" x14ac:dyDescent="0.2">
      <c r="L24" s="573"/>
      <c r="M24" s="574"/>
      <c r="N24" s="574"/>
      <c r="O24" s="575"/>
    </row>
    <row r="25" spans="2:15" ht="22.5" customHeight="1" x14ac:dyDescent="0.2">
      <c r="L25" s="573"/>
      <c r="M25" s="574"/>
      <c r="N25" s="574"/>
      <c r="O25" s="575"/>
    </row>
    <row r="26" spans="2:15" ht="22.5" customHeight="1" x14ac:dyDescent="0.2">
      <c r="L26" s="573"/>
      <c r="M26" s="574"/>
      <c r="N26" s="574"/>
      <c r="O26" s="575"/>
    </row>
    <row r="27" spans="2:15" ht="22.5" customHeight="1" x14ac:dyDescent="0.2">
      <c r="L27" s="573"/>
      <c r="M27" s="574"/>
      <c r="N27" s="574"/>
      <c r="O27" s="575"/>
    </row>
    <row r="28" spans="2:15" ht="22.5" customHeight="1" x14ac:dyDescent="0.2">
      <c r="L28" s="573"/>
      <c r="M28" s="574"/>
      <c r="N28" s="574"/>
      <c r="O28" s="575"/>
    </row>
    <row r="29" spans="2:15" ht="22.5" customHeight="1" x14ac:dyDescent="0.2">
      <c r="L29" s="576"/>
      <c r="M29" s="577"/>
      <c r="N29" s="577"/>
      <c r="O29" s="578"/>
    </row>
    <row r="30" spans="2:15" ht="6" customHeight="1" x14ac:dyDescent="0.2"/>
    <row r="31" spans="2:15" ht="19.5" customHeight="1" x14ac:dyDescent="0.2">
      <c r="H31" s="559" t="s">
        <v>155</v>
      </c>
      <c r="I31" s="560"/>
      <c r="J31" s="560"/>
    </row>
  </sheetData>
  <sheetProtection formatCells="0" formatColumns="0" formatRows="0" insertColumns="0" insertRows="0" insertHyperlinks="0" deleteColumns="0" deleteRows="0" pivotTables="0"/>
  <mergeCells count="34">
    <mergeCell ref="B5:C5"/>
    <mergeCell ref="D5:E5"/>
    <mergeCell ref="F5:G5"/>
    <mergeCell ref="H5:J5"/>
    <mergeCell ref="B8:C8"/>
    <mergeCell ref="D8:E8"/>
    <mergeCell ref="B6:C6"/>
    <mergeCell ref="F6:G6"/>
    <mergeCell ref="H6:J6"/>
    <mergeCell ref="D6:E6"/>
    <mergeCell ref="B2:D2"/>
    <mergeCell ref="E2:J2"/>
    <mergeCell ref="B4:C4"/>
    <mergeCell ref="D4:E4"/>
    <mergeCell ref="F4:G4"/>
    <mergeCell ref="H4:J4"/>
    <mergeCell ref="L21:O29"/>
    <mergeCell ref="L20:O20"/>
    <mergeCell ref="F8:G8"/>
    <mergeCell ref="H8:J8"/>
    <mergeCell ref="B7:C7"/>
    <mergeCell ref="D7:E7"/>
    <mergeCell ref="H7:J7"/>
    <mergeCell ref="F7:G7"/>
    <mergeCell ref="B9:C9"/>
    <mergeCell ref="D9:E9"/>
    <mergeCell ref="F9:G9"/>
    <mergeCell ref="H9:J9"/>
    <mergeCell ref="H31:J31"/>
    <mergeCell ref="B12:J12"/>
    <mergeCell ref="B15:C15"/>
    <mergeCell ref="B16:C16"/>
    <mergeCell ref="B17:C17"/>
    <mergeCell ref="B19:E19"/>
  </mergeCells>
  <phoneticPr fontId="25" type="noConversion"/>
  <pageMargins left="0.7" right="0.7" top="0.75" bottom="0.75" header="0" footer="0"/>
  <pageSetup paperSize="9" scale="5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09D1C-55CF-496F-8F5B-B3D0A68B47FB}">
  <sheetPr>
    <tabColor theme="9" tint="-0.499984740745262"/>
  </sheetPr>
  <dimension ref="B2:Q38"/>
  <sheetViews>
    <sheetView topLeftCell="A15" zoomScale="110" zoomScaleNormal="110" workbookViewId="0">
      <selection activeCell="O8" sqref="O8"/>
    </sheetView>
  </sheetViews>
  <sheetFormatPr defaultColWidth="9.140625" defaultRowHeight="12.75" x14ac:dyDescent="0.2"/>
  <cols>
    <col min="2" max="2" width="19.5703125" customWidth="1"/>
    <col min="3" max="3" width="15.28515625" customWidth="1"/>
    <col min="4" max="4" width="12.85546875" customWidth="1"/>
    <col min="5" max="5" width="15.85546875" customWidth="1"/>
    <col min="6" max="6" width="13.7109375" customWidth="1"/>
    <col min="7" max="7" width="11.5703125" customWidth="1"/>
    <col min="8" max="8" width="12.85546875" customWidth="1"/>
    <col min="10" max="10" width="20.85546875" customWidth="1"/>
  </cols>
  <sheetData>
    <row r="2" spans="2:12" ht="57" customHeight="1" x14ac:dyDescent="0.2">
      <c r="B2" s="714"/>
      <c r="C2" s="715"/>
      <c r="D2" s="716"/>
      <c r="E2" s="717" t="s">
        <v>192</v>
      </c>
      <c r="F2" s="715"/>
      <c r="G2" s="715"/>
      <c r="H2" s="715"/>
      <c r="I2" s="715"/>
      <c r="J2" s="716"/>
    </row>
    <row r="3" spans="2:12" ht="14.25" x14ac:dyDescent="0.2">
      <c r="B3" s="41"/>
      <c r="C3" s="41"/>
      <c r="D3" s="42"/>
      <c r="E3" s="42"/>
      <c r="F3" s="42"/>
      <c r="G3" s="42"/>
      <c r="H3" s="42"/>
      <c r="I3" s="42"/>
    </row>
    <row r="4" spans="2:12" ht="41.25" customHeight="1" x14ac:dyDescent="0.2">
      <c r="B4" s="567" t="s">
        <v>193</v>
      </c>
      <c r="C4" s="569"/>
      <c r="D4" s="718" t="str">
        <f>Índex!B25</f>
        <v>PC2.01_Ind05</v>
      </c>
      <c r="E4" s="716"/>
      <c r="F4" s="567" t="s">
        <v>194</v>
      </c>
      <c r="G4" s="569"/>
      <c r="H4" s="781" t="str">
        <f>Índex!C25</f>
        <v>Evolució del número d'assignatures en anglès als Màsters oficials de la Facultat (Pla Estratègic 2022/2023 a 2024/2025)</v>
      </c>
      <c r="I4" s="782"/>
      <c r="J4" s="783"/>
    </row>
    <row r="5" spans="2:12" ht="12.75" customHeight="1" x14ac:dyDescent="0.2">
      <c r="B5" s="567" t="s">
        <v>195</v>
      </c>
      <c r="C5" s="569"/>
      <c r="D5" s="798" t="str">
        <f>Índex!F25</f>
        <v>Mantenir l’oferta d’assignatures en anglès</v>
      </c>
      <c r="E5" s="716"/>
      <c r="F5" s="567" t="s">
        <v>196</v>
      </c>
      <c r="G5" s="569"/>
      <c r="H5" s="781" t="s">
        <v>212</v>
      </c>
      <c r="I5" s="782"/>
      <c r="J5" s="783"/>
    </row>
    <row r="6" spans="2:12" x14ac:dyDescent="0.2">
      <c r="B6" s="567" t="s">
        <v>471</v>
      </c>
      <c r="C6" s="569"/>
      <c r="D6" s="718" t="str">
        <f>Índex!H25</f>
        <v>Pla Estratègic</v>
      </c>
      <c r="E6" s="716"/>
      <c r="F6" s="567" t="s">
        <v>462</v>
      </c>
      <c r="G6" s="569"/>
      <c r="H6" s="781"/>
      <c r="I6" s="782"/>
      <c r="J6" s="783"/>
    </row>
    <row r="7" spans="2:12" x14ac:dyDescent="0.2">
      <c r="B7" s="567" t="s">
        <v>463</v>
      </c>
      <c r="C7" s="569"/>
      <c r="D7" s="718"/>
      <c r="E7" s="716"/>
      <c r="F7" s="567" t="s">
        <v>464</v>
      </c>
      <c r="G7" s="569"/>
      <c r="H7" s="781" t="s">
        <v>198</v>
      </c>
      <c r="I7" s="782"/>
      <c r="J7" s="783"/>
    </row>
    <row r="8" spans="2:12" ht="41.25" customHeight="1" x14ac:dyDescent="0.2">
      <c r="B8" s="567" t="s">
        <v>465</v>
      </c>
      <c r="C8" s="569"/>
      <c r="D8" s="718" t="str">
        <f>Índex!D25</f>
        <v xml:space="preserve"> Vicedegana d'Afers Acadèmics de Grau</v>
      </c>
      <c r="E8" s="716"/>
      <c r="F8" s="567" t="s">
        <v>472</v>
      </c>
      <c r="G8" s="569"/>
      <c r="H8" s="781" t="str">
        <f>Índex!E25</f>
        <v>Gestora de Programació Docent</v>
      </c>
      <c r="I8" s="782"/>
      <c r="J8" s="783"/>
    </row>
    <row r="9" spans="2:12" ht="46.5" customHeight="1" x14ac:dyDescent="0.2">
      <c r="B9" s="567" t="s">
        <v>461</v>
      </c>
      <c r="C9" s="569"/>
      <c r="D9" s="718" t="str">
        <f>Índex!G25</f>
        <v>PC2.01. Planificació i Programació d’Assignatures. Guies Docents</v>
      </c>
      <c r="E9" s="716"/>
      <c r="F9" s="567" t="s">
        <v>467</v>
      </c>
      <c r="G9" s="569"/>
      <c r="H9" s="778"/>
      <c r="I9" s="779"/>
      <c r="J9" s="780"/>
    </row>
    <row r="11" spans="2:12" x14ac:dyDescent="0.2">
      <c r="B11" s="567" t="s">
        <v>468</v>
      </c>
      <c r="C11" s="568"/>
      <c r="D11" s="568"/>
      <c r="E11" s="568"/>
      <c r="F11" s="568"/>
      <c r="G11" s="568"/>
      <c r="H11" s="568"/>
      <c r="I11" s="568"/>
      <c r="J11" s="569"/>
      <c r="L11" s="97" t="s">
        <v>155</v>
      </c>
    </row>
    <row r="13" spans="2:12" ht="13.5" thickBot="1" x14ac:dyDescent="0.25"/>
    <row r="14" spans="2:12" ht="13.5" x14ac:dyDescent="0.2">
      <c r="B14" s="143"/>
      <c r="C14" s="78" t="s">
        <v>201</v>
      </c>
      <c r="D14" s="78" t="s">
        <v>202</v>
      </c>
      <c r="E14" s="78" t="s">
        <v>203</v>
      </c>
      <c r="F14" s="78" t="s">
        <v>204</v>
      </c>
      <c r="G14" s="78" t="s">
        <v>205</v>
      </c>
      <c r="H14" s="448" t="s">
        <v>256</v>
      </c>
    </row>
    <row r="15" spans="2:12" ht="71.25" x14ac:dyDescent="0.2">
      <c r="B15" s="28" t="s">
        <v>241</v>
      </c>
      <c r="C15" s="28">
        <v>14</v>
      </c>
      <c r="D15" s="28">
        <v>14</v>
      </c>
      <c r="E15" s="28">
        <v>16</v>
      </c>
      <c r="F15" s="28">
        <v>15</v>
      </c>
      <c r="G15" s="445">
        <v>16</v>
      </c>
      <c r="H15" s="28">
        <v>15</v>
      </c>
    </row>
    <row r="16" spans="2:12" ht="42.75" x14ac:dyDescent="0.2">
      <c r="B16" s="28" t="s">
        <v>251</v>
      </c>
      <c r="C16" s="28">
        <v>15</v>
      </c>
      <c r="D16" s="28">
        <v>15</v>
      </c>
      <c r="E16" s="28">
        <v>14</v>
      </c>
      <c r="F16" s="28">
        <v>15</v>
      </c>
      <c r="G16" s="445">
        <v>15</v>
      </c>
      <c r="H16" s="28">
        <v>14</v>
      </c>
    </row>
    <row r="17" spans="2:17" ht="42.75" x14ac:dyDescent="0.2">
      <c r="B17" s="28" t="s">
        <v>279</v>
      </c>
      <c r="C17" s="28">
        <v>0</v>
      </c>
      <c r="D17" s="28">
        <v>0</v>
      </c>
      <c r="E17" s="28">
        <v>0</v>
      </c>
      <c r="F17" s="28">
        <v>0</v>
      </c>
      <c r="G17" s="445">
        <v>0</v>
      </c>
      <c r="H17" s="28">
        <v>0</v>
      </c>
    </row>
    <row r="18" spans="2:17" ht="29.25" customHeight="1" x14ac:dyDescent="0.2">
      <c r="B18" s="28" t="s">
        <v>280</v>
      </c>
      <c r="C18" s="28">
        <v>11</v>
      </c>
      <c r="D18" s="28">
        <v>13</v>
      </c>
      <c r="E18" s="28">
        <v>12</v>
      </c>
      <c r="F18" s="28">
        <v>12</v>
      </c>
      <c r="G18" s="445">
        <v>12</v>
      </c>
      <c r="H18" s="28" t="s">
        <v>587</v>
      </c>
    </row>
    <row r="19" spans="2:17" ht="42.75" x14ac:dyDescent="0.2">
      <c r="B19" s="28" t="s">
        <v>253</v>
      </c>
      <c r="C19" s="28">
        <v>15</v>
      </c>
      <c r="D19" s="28">
        <v>13</v>
      </c>
      <c r="E19" s="28">
        <v>16</v>
      </c>
      <c r="F19" s="28">
        <v>16</v>
      </c>
      <c r="G19" s="445">
        <v>9</v>
      </c>
      <c r="H19" s="28">
        <v>13</v>
      </c>
    </row>
    <row r="20" spans="2:17" ht="28.5" x14ac:dyDescent="0.2">
      <c r="B20" s="28" t="s">
        <v>245</v>
      </c>
      <c r="C20" s="28" t="s">
        <v>281</v>
      </c>
      <c r="D20" s="28">
        <v>5</v>
      </c>
      <c r="E20" s="28">
        <v>4</v>
      </c>
      <c r="F20" s="28" t="s">
        <v>282</v>
      </c>
      <c r="G20" s="445">
        <v>3</v>
      </c>
      <c r="H20" s="28">
        <v>0</v>
      </c>
    </row>
    <row r="21" spans="2:17" ht="42.75" x14ac:dyDescent="0.2">
      <c r="B21" s="28" t="s">
        <v>254</v>
      </c>
      <c r="C21" s="28">
        <v>8</v>
      </c>
      <c r="D21" s="28">
        <v>8</v>
      </c>
      <c r="E21" s="28">
        <v>6</v>
      </c>
      <c r="F21" s="28">
        <v>8</v>
      </c>
      <c r="G21" s="445">
        <v>8</v>
      </c>
      <c r="H21" s="28">
        <v>6</v>
      </c>
    </row>
    <row r="22" spans="2:17" ht="28.5" x14ac:dyDescent="0.2">
      <c r="B22" s="28" t="s">
        <v>493</v>
      </c>
      <c r="C22" s="28">
        <f>SUM(C15:C21)</f>
        <v>63</v>
      </c>
      <c r="D22" s="28">
        <f>SUM(D15:D21)</f>
        <v>68</v>
      </c>
      <c r="E22" s="28">
        <f>SUM(E15:E21)</f>
        <v>68</v>
      </c>
      <c r="F22" s="68">
        <f>SUM(F15:F21)</f>
        <v>66</v>
      </c>
      <c r="G22" s="446">
        <f>SUM(G15:G21)</f>
        <v>63</v>
      </c>
      <c r="H22" s="28">
        <v>44</v>
      </c>
    </row>
    <row r="23" spans="2:17" ht="14.25" x14ac:dyDescent="0.2">
      <c r="B23" s="28" t="s">
        <v>283</v>
      </c>
      <c r="C23" s="28" t="s">
        <v>213</v>
      </c>
      <c r="D23" s="28">
        <f>C22</f>
        <v>63</v>
      </c>
      <c r="E23" s="28">
        <f>D22</f>
        <v>68</v>
      </c>
      <c r="F23" s="28">
        <f>E22</f>
        <v>68</v>
      </c>
      <c r="G23" s="443">
        <f>F22</f>
        <v>66</v>
      </c>
      <c r="H23" s="28">
        <v>63</v>
      </c>
    </row>
    <row r="24" spans="2:17" ht="14.25" x14ac:dyDescent="0.2">
      <c r="B24" s="28" t="s">
        <v>284</v>
      </c>
      <c r="C24" s="52" t="s">
        <v>282</v>
      </c>
      <c r="D24" s="36">
        <f>(D22-D23)/D23</f>
        <v>7.9365079365079361E-2</v>
      </c>
      <c r="E24" s="36">
        <f>(E22-E23)/E23</f>
        <v>0</v>
      </c>
      <c r="F24" s="36">
        <f>(F22-F23)/F23</f>
        <v>-2.9411764705882353E-2</v>
      </c>
      <c r="G24" s="36">
        <f>(G22-G23)/G23</f>
        <v>-4.5454545454545456E-2</v>
      </c>
      <c r="H24" s="36">
        <f>(H22-H23)/H23</f>
        <v>-0.30158730158730157</v>
      </c>
    </row>
    <row r="25" spans="2:17" ht="57" x14ac:dyDescent="0.2">
      <c r="B25" s="28" t="s">
        <v>5</v>
      </c>
      <c r="C25" s="52" t="s">
        <v>591</v>
      </c>
      <c r="D25" s="52" t="s">
        <v>591</v>
      </c>
      <c r="E25" s="52" t="s">
        <v>591</v>
      </c>
      <c r="F25" s="52" t="s">
        <v>591</v>
      </c>
      <c r="G25" s="52" t="s">
        <v>591</v>
      </c>
      <c r="H25" s="52" t="s">
        <v>591</v>
      </c>
      <c r="I25" s="444" t="s">
        <v>155</v>
      </c>
    </row>
    <row r="26" spans="2:17" ht="14.25" x14ac:dyDescent="0.2">
      <c r="B26" s="63" t="s">
        <v>208</v>
      </c>
      <c r="C26" s="28" t="s">
        <v>213</v>
      </c>
      <c r="D26" s="52">
        <v>1</v>
      </c>
      <c r="E26" s="52">
        <v>0</v>
      </c>
      <c r="F26" s="52">
        <v>0</v>
      </c>
      <c r="G26" s="447">
        <v>0</v>
      </c>
      <c r="H26" s="449">
        <v>0</v>
      </c>
      <c r="I26" s="444" t="s">
        <v>155</v>
      </c>
    </row>
    <row r="28" spans="2:17" x14ac:dyDescent="0.2">
      <c r="B28" s="567" t="s">
        <v>469</v>
      </c>
      <c r="C28" s="568"/>
      <c r="D28" s="568"/>
      <c r="E28" s="569"/>
      <c r="N28" s="788" t="s">
        <v>470</v>
      </c>
      <c r="O28" s="789"/>
      <c r="P28" s="789"/>
      <c r="Q28" s="789"/>
    </row>
    <row r="29" spans="2:17" ht="15" x14ac:dyDescent="0.2">
      <c r="H29" s="9"/>
      <c r="N29" s="792" t="s">
        <v>478</v>
      </c>
      <c r="O29" s="792"/>
      <c r="P29" s="792"/>
      <c r="Q29" s="792"/>
    </row>
    <row r="30" spans="2:17" ht="12.75" customHeight="1" x14ac:dyDescent="0.2">
      <c r="N30" s="792"/>
      <c r="O30" s="792"/>
      <c r="P30" s="792"/>
      <c r="Q30" s="792"/>
    </row>
    <row r="31" spans="2:17" x14ac:dyDescent="0.2">
      <c r="N31" s="792"/>
      <c r="O31" s="792"/>
      <c r="P31" s="792"/>
      <c r="Q31" s="792"/>
    </row>
    <row r="32" spans="2:17" x14ac:dyDescent="0.2">
      <c r="N32" s="792"/>
      <c r="O32" s="792"/>
      <c r="P32" s="792"/>
      <c r="Q32" s="792"/>
    </row>
    <row r="33" spans="14:17" x14ac:dyDescent="0.2">
      <c r="N33" s="792"/>
      <c r="O33" s="792"/>
      <c r="P33" s="792"/>
      <c r="Q33" s="792"/>
    </row>
    <row r="34" spans="14:17" x14ac:dyDescent="0.2">
      <c r="N34" s="792"/>
      <c r="O34" s="792"/>
      <c r="P34" s="792"/>
      <c r="Q34" s="792"/>
    </row>
    <row r="35" spans="14:17" x14ac:dyDescent="0.2">
      <c r="N35" s="792"/>
      <c r="O35" s="792"/>
      <c r="P35" s="792"/>
      <c r="Q35" s="792"/>
    </row>
    <row r="36" spans="14:17" x14ac:dyDescent="0.2">
      <c r="N36" s="792"/>
      <c r="O36" s="792"/>
      <c r="P36" s="792"/>
      <c r="Q36" s="792"/>
    </row>
    <row r="37" spans="14:17" x14ac:dyDescent="0.2">
      <c r="N37" s="792"/>
      <c r="O37" s="792"/>
      <c r="P37" s="792"/>
      <c r="Q37" s="792"/>
    </row>
    <row r="38" spans="14:17" x14ac:dyDescent="0.2">
      <c r="N38" s="792"/>
      <c r="O38" s="792"/>
      <c r="P38" s="792"/>
      <c r="Q38" s="792"/>
    </row>
  </sheetData>
  <sheetProtection formatCells="0" formatColumns="0" formatRows="0" insertColumns="0" insertRows="0" insertHyperlinks="0" deleteColumns="0" deleteRows="0" pivotTables="0"/>
  <mergeCells count="30">
    <mergeCell ref="B8:C8"/>
    <mergeCell ref="D8:E8"/>
    <mergeCell ref="F8:G8"/>
    <mergeCell ref="H8:J8"/>
    <mergeCell ref="D9:E9"/>
    <mergeCell ref="F9:G9"/>
    <mergeCell ref="H9:J9"/>
    <mergeCell ref="B28:E28"/>
    <mergeCell ref="N28:Q28"/>
    <mergeCell ref="B9:C9"/>
    <mergeCell ref="B11:J11"/>
    <mergeCell ref="N29:Q38"/>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phoneticPr fontId="9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48762-FB49-43FE-95ED-AA53B86C9602}">
  <sheetPr>
    <tabColor theme="9" tint="-0.499984740745262"/>
    <pageSetUpPr fitToPage="1"/>
  </sheetPr>
  <dimension ref="B2:M51"/>
  <sheetViews>
    <sheetView showGridLines="0" workbookViewId="0">
      <selection activeCell="K11" sqref="K11"/>
    </sheetView>
  </sheetViews>
  <sheetFormatPr defaultColWidth="12.5703125" defaultRowHeight="15.75" customHeight="1" x14ac:dyDescent="0.2"/>
  <cols>
    <col min="1" max="1" width="3.42578125" customWidth="1"/>
    <col min="2" max="2" width="14.140625" customWidth="1"/>
    <col min="3" max="3" width="17.7109375" customWidth="1"/>
    <col min="4" max="4" width="17.28515625" customWidth="1"/>
    <col min="5" max="9" width="12.5703125" customWidth="1"/>
    <col min="10" max="10" width="36.28515625" customWidth="1"/>
    <col min="11" max="11" width="51.42578125" customWidth="1"/>
    <col min="12" max="12" width="28" customWidth="1"/>
    <col min="13" max="13" width="30" customWidth="1"/>
    <col min="14" max="21" width="7.5703125" customWidth="1"/>
  </cols>
  <sheetData>
    <row r="2" spans="2:11" ht="55.5" customHeight="1" x14ac:dyDescent="0.2">
      <c r="B2" s="714"/>
      <c r="C2" s="714"/>
      <c r="D2" s="714"/>
      <c r="E2" s="717" t="s">
        <v>192</v>
      </c>
      <c r="F2" s="717"/>
      <c r="G2" s="717"/>
      <c r="H2" s="717"/>
      <c r="I2" s="717"/>
      <c r="J2" s="717"/>
      <c r="K2" s="3"/>
    </row>
    <row r="3" spans="2:11" ht="22.5" customHeight="1" x14ac:dyDescent="0.2">
      <c r="B3" s="41"/>
      <c r="C3" s="41"/>
      <c r="D3" s="42"/>
      <c r="E3" s="42"/>
      <c r="F3" s="42"/>
      <c r="G3" s="42"/>
      <c r="H3" s="42"/>
      <c r="I3" s="42"/>
    </row>
    <row r="4" spans="2:11" ht="42" customHeight="1" x14ac:dyDescent="0.2">
      <c r="B4" s="788" t="s">
        <v>193</v>
      </c>
      <c r="C4" s="788"/>
      <c r="D4" s="800" t="str">
        <f>Índex!B26</f>
        <v>PC2.02_Ind01.</v>
      </c>
      <c r="E4" s="800"/>
      <c r="F4" s="788" t="s">
        <v>194</v>
      </c>
      <c r="G4" s="788"/>
      <c r="H4" s="786" t="str">
        <f>Índex!C26</f>
        <v>Grau de satisfacció dels/de les estudiants amb el TFE, segons les enquestes d’avaluació corresponents (enquesta titulats)</v>
      </c>
      <c r="I4" s="786"/>
      <c r="J4" s="786"/>
    </row>
    <row r="5" spans="2:11" ht="22.5" customHeight="1" x14ac:dyDescent="0.2">
      <c r="B5" s="788" t="s">
        <v>495</v>
      </c>
      <c r="C5" s="788"/>
      <c r="D5" s="800" t="str">
        <f>Índex!F26</f>
        <v>≥3,5</v>
      </c>
      <c r="E5" s="800"/>
      <c r="F5" s="788" t="s">
        <v>196</v>
      </c>
      <c r="G5" s="788"/>
      <c r="H5" s="786" t="s">
        <v>216</v>
      </c>
      <c r="I5" s="786"/>
      <c r="J5" s="786"/>
    </row>
    <row r="6" spans="2:11" ht="22.5" customHeight="1" x14ac:dyDescent="0.2">
      <c r="B6" s="788" t="s">
        <v>494</v>
      </c>
      <c r="C6" s="788"/>
      <c r="D6" s="800" t="str">
        <f>Índex!H26</f>
        <v>Objectiu de Qualitat. Grups d'interès</v>
      </c>
      <c r="E6" s="800"/>
      <c r="F6" s="788" t="s">
        <v>462</v>
      </c>
      <c r="G6" s="788"/>
      <c r="H6" s="786"/>
      <c r="I6" s="786"/>
      <c r="J6" s="786"/>
    </row>
    <row r="7" spans="2:11" ht="22.5" customHeight="1" x14ac:dyDescent="0.2">
      <c r="B7" s="788" t="s">
        <v>463</v>
      </c>
      <c r="C7" s="788"/>
      <c r="D7" s="800"/>
      <c r="E7" s="800"/>
      <c r="F7" s="788" t="s">
        <v>464</v>
      </c>
      <c r="G7" s="788"/>
      <c r="H7" s="786" t="s">
        <v>198</v>
      </c>
      <c r="I7" s="786"/>
      <c r="J7" s="786"/>
    </row>
    <row r="8" spans="2:11" ht="37.5" customHeight="1" x14ac:dyDescent="0.2">
      <c r="B8" s="788" t="s">
        <v>465</v>
      </c>
      <c r="C8" s="788"/>
      <c r="D8" s="800" t="str">
        <f>Índex!D26</f>
        <v xml:space="preserve"> Vicedegana d'Afers Acadèmics de Grau</v>
      </c>
      <c r="E8" s="800"/>
      <c r="F8" s="788" t="s">
        <v>472</v>
      </c>
      <c r="G8" s="788"/>
      <c r="H8" s="786" t="str">
        <f>Índex!E26</f>
        <v>Gestora de Qualitat</v>
      </c>
      <c r="I8" s="786"/>
      <c r="J8" s="786"/>
    </row>
    <row r="9" spans="2:11" ht="33.75" customHeight="1" x14ac:dyDescent="0.2">
      <c r="B9" s="788" t="s">
        <v>461</v>
      </c>
      <c r="C9" s="788"/>
      <c r="D9" s="800" t="str">
        <f>Índex!G26</f>
        <v>PC2.02. Programació de Treball de Fi d'Estudis (TFE)</v>
      </c>
      <c r="E9" s="800"/>
      <c r="F9" s="788" t="s">
        <v>467</v>
      </c>
      <c r="G9" s="788"/>
      <c r="H9" s="786" t="s">
        <v>496</v>
      </c>
      <c r="I9" s="786"/>
      <c r="J9" s="786"/>
    </row>
    <row r="10" spans="2:11" ht="7.5" customHeight="1" x14ac:dyDescent="0.2"/>
    <row r="11" spans="2:11" ht="22.5" customHeight="1" x14ac:dyDescent="0.2">
      <c r="B11" s="567" t="s">
        <v>468</v>
      </c>
      <c r="C11" s="567"/>
      <c r="D11" s="567"/>
      <c r="E11" s="567"/>
      <c r="F11" s="567"/>
      <c r="G11" s="567"/>
      <c r="H11" s="567"/>
      <c r="I11" s="567"/>
      <c r="J11" s="567"/>
    </row>
    <row r="12" spans="2:11" ht="22.5" customHeight="1" x14ac:dyDescent="0.2"/>
    <row r="13" spans="2:11" ht="22.5" customHeight="1" x14ac:dyDescent="0.2">
      <c r="B13" s="14"/>
      <c r="C13" s="14"/>
      <c r="D13" s="84" t="s">
        <v>200</v>
      </c>
      <c r="E13" s="84" t="s">
        <v>201</v>
      </c>
      <c r="F13" s="84" t="s">
        <v>202</v>
      </c>
      <c r="G13" s="84" t="s">
        <v>203</v>
      </c>
      <c r="H13" s="84" t="s">
        <v>204</v>
      </c>
      <c r="I13" s="84" t="s">
        <v>205</v>
      </c>
      <c r="K13" s="21"/>
    </row>
    <row r="14" spans="2:11" ht="22.5" customHeight="1" x14ac:dyDescent="0.2">
      <c r="B14" s="739" t="s">
        <v>218</v>
      </c>
      <c r="C14" s="739"/>
      <c r="D14" s="81">
        <v>3.82</v>
      </c>
      <c r="E14" s="81" t="s">
        <v>213</v>
      </c>
      <c r="F14" s="81">
        <v>3</v>
      </c>
      <c r="G14" s="81" t="s">
        <v>213</v>
      </c>
      <c r="H14" s="81">
        <v>4.12</v>
      </c>
      <c r="I14" s="81">
        <v>3.62</v>
      </c>
      <c r="K14" s="21"/>
    </row>
    <row r="15" spans="2:11" ht="22.5" customHeight="1" x14ac:dyDescent="0.2">
      <c r="B15" s="739" t="s">
        <v>272</v>
      </c>
      <c r="C15" s="739"/>
      <c r="D15" s="81" t="s">
        <v>213</v>
      </c>
      <c r="E15" s="81" t="s">
        <v>213</v>
      </c>
      <c r="F15" s="81">
        <v>3.8</v>
      </c>
      <c r="G15" s="81" t="s">
        <v>213</v>
      </c>
      <c r="H15" s="81">
        <v>4.43</v>
      </c>
      <c r="I15" s="81">
        <v>4.29</v>
      </c>
      <c r="K15" s="21"/>
    </row>
    <row r="16" spans="2:11" ht="22.5" customHeight="1" x14ac:dyDescent="0.2">
      <c r="B16" s="739" t="s">
        <v>262</v>
      </c>
      <c r="C16" s="739"/>
      <c r="D16" s="81" t="s">
        <v>213</v>
      </c>
      <c r="E16" s="81">
        <v>4.2</v>
      </c>
      <c r="F16" s="81">
        <v>4.67</v>
      </c>
      <c r="G16" s="81" t="s">
        <v>213</v>
      </c>
      <c r="H16" s="81">
        <v>4.5</v>
      </c>
      <c r="I16" s="81">
        <v>3.67</v>
      </c>
      <c r="K16" s="21"/>
    </row>
    <row r="17" spans="2:11" ht="22.5" customHeight="1" x14ac:dyDescent="0.2">
      <c r="B17" s="739" t="s">
        <v>221</v>
      </c>
      <c r="C17" s="739"/>
      <c r="D17" s="81">
        <v>3.78</v>
      </c>
      <c r="E17" s="81">
        <v>4.0999999999999996</v>
      </c>
      <c r="F17" s="81">
        <v>3.85</v>
      </c>
      <c r="G17" s="81">
        <v>3.67</v>
      </c>
      <c r="H17" s="81">
        <v>4.05</v>
      </c>
      <c r="I17" s="81">
        <v>4.2699999999999996</v>
      </c>
      <c r="K17" s="21"/>
    </row>
    <row r="18" spans="2:11" ht="22.5" customHeight="1" x14ac:dyDescent="0.2">
      <c r="B18" s="739" t="s">
        <v>273</v>
      </c>
      <c r="C18" s="739"/>
      <c r="D18" s="81" t="s">
        <v>213</v>
      </c>
      <c r="E18" s="81" t="s">
        <v>213</v>
      </c>
      <c r="F18" s="81" t="s">
        <v>213</v>
      </c>
      <c r="G18" s="81" t="s">
        <v>213</v>
      </c>
      <c r="H18" s="81">
        <v>4.33</v>
      </c>
      <c r="I18" s="81">
        <v>2.71</v>
      </c>
      <c r="K18" s="21"/>
    </row>
    <row r="19" spans="2:11" ht="22.5" customHeight="1" x14ac:dyDescent="0.2">
      <c r="B19" s="739" t="s">
        <v>274</v>
      </c>
      <c r="C19" s="739"/>
      <c r="D19" s="81">
        <v>3.25</v>
      </c>
      <c r="E19" s="81">
        <v>4.29</v>
      </c>
      <c r="F19" s="81" t="s">
        <v>213</v>
      </c>
      <c r="G19" s="81" t="s">
        <v>213</v>
      </c>
      <c r="H19" s="81">
        <v>4.13</v>
      </c>
      <c r="I19" s="81">
        <v>4.83</v>
      </c>
      <c r="K19" s="21"/>
    </row>
    <row r="20" spans="2:11" ht="22.5" customHeight="1" x14ac:dyDescent="0.2">
      <c r="B20" s="739" t="s">
        <v>224</v>
      </c>
      <c r="C20" s="739"/>
      <c r="D20" s="81">
        <v>4.2</v>
      </c>
      <c r="E20" s="81" t="s">
        <v>213</v>
      </c>
      <c r="F20" s="81" t="s">
        <v>213</v>
      </c>
      <c r="G20" s="81" t="s">
        <v>213</v>
      </c>
      <c r="H20" s="81">
        <v>4</v>
      </c>
      <c r="I20" s="81" t="s">
        <v>213</v>
      </c>
      <c r="K20" s="21"/>
    </row>
    <row r="21" spans="2:11" ht="36" customHeight="1" x14ac:dyDescent="0.2">
      <c r="B21" s="739" t="s">
        <v>225</v>
      </c>
      <c r="C21" s="739"/>
      <c r="D21" s="81" t="s">
        <v>213</v>
      </c>
      <c r="E21" s="81" t="s">
        <v>213</v>
      </c>
      <c r="F21" s="81" t="s">
        <v>213</v>
      </c>
      <c r="G21" s="81" t="s">
        <v>213</v>
      </c>
      <c r="H21" s="81">
        <v>5</v>
      </c>
      <c r="I21" s="81">
        <v>3.46</v>
      </c>
      <c r="K21" s="21"/>
    </row>
    <row r="22" spans="2:11" ht="22.5" customHeight="1" x14ac:dyDescent="0.2">
      <c r="B22" s="739" t="s">
        <v>226</v>
      </c>
      <c r="C22" s="739"/>
      <c r="D22" s="81">
        <v>3.9</v>
      </c>
      <c r="E22" s="81">
        <v>3.93</v>
      </c>
      <c r="F22" s="81">
        <v>3.64</v>
      </c>
      <c r="G22" s="81" t="s">
        <v>213</v>
      </c>
      <c r="H22" s="81">
        <v>3.83</v>
      </c>
      <c r="I22" s="81">
        <v>4.21</v>
      </c>
      <c r="K22" s="21"/>
    </row>
    <row r="23" spans="2:11" ht="22.5" customHeight="1" x14ac:dyDescent="0.2">
      <c r="B23" s="739" t="s">
        <v>263</v>
      </c>
      <c r="C23" s="739"/>
      <c r="D23" s="81">
        <v>3.91</v>
      </c>
      <c r="E23" s="81">
        <v>4</v>
      </c>
      <c r="F23" s="81">
        <v>4.67</v>
      </c>
      <c r="G23" s="81" t="s">
        <v>213</v>
      </c>
      <c r="H23" s="81">
        <v>4.2699999999999996</v>
      </c>
      <c r="I23" s="81">
        <v>4.8</v>
      </c>
      <c r="K23" s="21"/>
    </row>
    <row r="24" spans="2:11" ht="22.5" customHeight="1" x14ac:dyDescent="0.2">
      <c r="B24" s="739" t="s">
        <v>228</v>
      </c>
      <c r="C24" s="739"/>
      <c r="D24" s="81">
        <v>4.0999999999999996</v>
      </c>
      <c r="E24" s="81">
        <v>3.63</v>
      </c>
      <c r="F24" s="81">
        <v>3.75</v>
      </c>
      <c r="G24" s="81" t="s">
        <v>213</v>
      </c>
      <c r="H24" s="81">
        <v>3.68</v>
      </c>
      <c r="I24" s="81">
        <v>4.3099999999999996</v>
      </c>
      <c r="K24" s="21"/>
    </row>
    <row r="25" spans="2:11" ht="51.75" customHeight="1" x14ac:dyDescent="0.2">
      <c r="B25" s="739" t="s">
        <v>241</v>
      </c>
      <c r="C25" s="739"/>
      <c r="D25" s="81" t="s">
        <v>213</v>
      </c>
      <c r="E25" s="81" t="s">
        <v>213</v>
      </c>
      <c r="F25" s="81">
        <v>4</v>
      </c>
      <c r="G25" s="81" t="s">
        <v>213</v>
      </c>
      <c r="H25" s="81">
        <v>3.33</v>
      </c>
      <c r="I25" s="81">
        <v>3.92</v>
      </c>
      <c r="K25" s="21"/>
    </row>
    <row r="26" spans="2:11" ht="36" customHeight="1" x14ac:dyDescent="0.2">
      <c r="B26" s="739" t="s">
        <v>266</v>
      </c>
      <c r="C26" s="739"/>
      <c r="D26" s="81" t="s">
        <v>213</v>
      </c>
      <c r="E26" s="81" t="s">
        <v>213</v>
      </c>
      <c r="F26" s="81" t="s">
        <v>213</v>
      </c>
      <c r="G26" s="81" t="s">
        <v>213</v>
      </c>
      <c r="H26" s="81">
        <v>3.5</v>
      </c>
      <c r="I26" s="81" t="s">
        <v>213</v>
      </c>
      <c r="K26" s="21"/>
    </row>
    <row r="27" spans="2:11" ht="33" customHeight="1" x14ac:dyDescent="0.2">
      <c r="B27" s="739" t="s">
        <v>252</v>
      </c>
      <c r="C27" s="739"/>
      <c r="D27" s="81" t="s">
        <v>213</v>
      </c>
      <c r="E27" s="81" t="s">
        <v>213</v>
      </c>
      <c r="F27" s="81">
        <v>4.22</v>
      </c>
      <c r="G27" s="81" t="s">
        <v>213</v>
      </c>
      <c r="H27" s="81">
        <v>4</v>
      </c>
      <c r="I27" s="81">
        <v>4.2</v>
      </c>
      <c r="K27" s="21"/>
    </row>
    <row r="28" spans="2:11" ht="33.75" customHeight="1" x14ac:dyDescent="0.2">
      <c r="B28" s="739" t="s">
        <v>244</v>
      </c>
      <c r="C28" s="739"/>
      <c r="D28" s="81" t="s">
        <v>213</v>
      </c>
      <c r="E28" s="81" t="s">
        <v>213</v>
      </c>
      <c r="F28" s="81" t="s">
        <v>213</v>
      </c>
      <c r="G28" s="81" t="s">
        <v>213</v>
      </c>
      <c r="H28" s="81">
        <v>3.63</v>
      </c>
      <c r="I28" s="81">
        <v>4.7</v>
      </c>
      <c r="K28" s="21"/>
    </row>
    <row r="29" spans="2:11" ht="32.25" customHeight="1" x14ac:dyDescent="0.2">
      <c r="B29" s="739" t="s">
        <v>516</v>
      </c>
      <c r="C29" s="739"/>
      <c r="D29" s="81" t="s">
        <v>213</v>
      </c>
      <c r="E29" s="81" t="s">
        <v>213</v>
      </c>
      <c r="F29" s="81" t="s">
        <v>213</v>
      </c>
      <c r="G29" s="81" t="s">
        <v>213</v>
      </c>
      <c r="H29" s="81">
        <v>4.67</v>
      </c>
      <c r="I29" s="81" t="s">
        <v>213</v>
      </c>
      <c r="K29" s="21"/>
    </row>
    <row r="30" spans="2:11" ht="36.75" customHeight="1" x14ac:dyDescent="0.2">
      <c r="B30" s="739" t="s">
        <v>271</v>
      </c>
      <c r="C30" s="739"/>
      <c r="D30" s="81" t="s">
        <v>213</v>
      </c>
      <c r="E30" s="81" t="s">
        <v>213</v>
      </c>
      <c r="F30" s="81" t="s">
        <v>213</v>
      </c>
      <c r="G30" s="81" t="s">
        <v>213</v>
      </c>
      <c r="H30" s="81" t="s">
        <v>213</v>
      </c>
      <c r="I30" s="81" t="s">
        <v>213</v>
      </c>
      <c r="K30" s="21"/>
    </row>
    <row r="31" spans="2:11" ht="33.75" customHeight="1" x14ac:dyDescent="0.2">
      <c r="B31" s="739" t="s">
        <v>254</v>
      </c>
      <c r="C31" s="739"/>
      <c r="D31" s="81" t="s">
        <v>213</v>
      </c>
      <c r="E31" s="81" t="s">
        <v>213</v>
      </c>
      <c r="F31" s="81" t="s">
        <v>213</v>
      </c>
      <c r="G31" s="81" t="s">
        <v>213</v>
      </c>
      <c r="H31" s="81">
        <v>3.46</v>
      </c>
      <c r="I31" s="81" t="s">
        <v>213</v>
      </c>
      <c r="K31" s="21"/>
    </row>
    <row r="32" spans="2:11" ht="95.25" customHeight="1" x14ac:dyDescent="0.2">
      <c r="B32" s="739" t="s">
        <v>568</v>
      </c>
      <c r="C32" s="739"/>
      <c r="D32" s="82">
        <v>3.9</v>
      </c>
      <c r="E32" s="82">
        <v>3.95</v>
      </c>
      <c r="F32" s="82">
        <v>3.91</v>
      </c>
      <c r="G32" s="82">
        <v>3.7</v>
      </c>
      <c r="H32" s="366">
        <v>4.08</v>
      </c>
      <c r="I32" s="366">
        <v>4.0599999999999996</v>
      </c>
    </row>
    <row r="33" spans="2:13" ht="95.25" customHeight="1" x14ac:dyDescent="0.2">
      <c r="B33" s="739" t="s">
        <v>569</v>
      </c>
      <c r="C33" s="739"/>
      <c r="D33" s="82" t="s">
        <v>213</v>
      </c>
      <c r="E33" s="82" t="s">
        <v>213</v>
      </c>
      <c r="F33" s="82">
        <v>4.09</v>
      </c>
      <c r="G33" s="82">
        <v>3.67</v>
      </c>
      <c r="H33" s="366">
        <v>3.7</v>
      </c>
      <c r="I33" s="366">
        <v>4.28</v>
      </c>
    </row>
    <row r="34" spans="2:13" ht="22.5" customHeight="1" x14ac:dyDescent="0.25">
      <c r="B34" s="732" t="str">
        <f>D5</f>
        <v>≥3,5</v>
      </c>
      <c r="C34" s="732"/>
      <c r="D34" s="48">
        <f>COUNTIF(D32:D32,"&gt;=3,5")</f>
        <v>1</v>
      </c>
      <c r="E34" s="48">
        <f>COUNTIF(E32:E32,"&gt;=3,5")</f>
        <v>1</v>
      </c>
      <c r="F34" s="48">
        <f>COUNTIF(F32:F32,"&gt;=3,5")</f>
        <v>1</v>
      </c>
      <c r="G34" s="48">
        <f>COUNTIF(G32:G32,"&gt;=3,5")</f>
        <v>1</v>
      </c>
      <c r="H34" s="33" t="s">
        <v>286</v>
      </c>
      <c r="I34" s="33">
        <f>COUNTIF(I32,"&gt;="&amp;I36)</f>
        <v>1</v>
      </c>
      <c r="M34" s="230" t="s">
        <v>470</v>
      </c>
    </row>
    <row r="35" spans="2:13" ht="22.5" customHeight="1" x14ac:dyDescent="0.25">
      <c r="B35" s="734" t="s">
        <v>248</v>
      </c>
      <c r="C35" s="734"/>
      <c r="D35" s="48">
        <f>COUNT(D32:D32)</f>
        <v>1</v>
      </c>
      <c r="E35" s="48">
        <f>COUNT(E32:E32)</f>
        <v>1</v>
      </c>
      <c r="F35" s="48">
        <f>COUNT(F32:F32)</f>
        <v>1</v>
      </c>
      <c r="G35" s="48">
        <f>COUNT(G32:G32)</f>
        <v>1</v>
      </c>
      <c r="H35" s="33" t="s">
        <v>287</v>
      </c>
      <c r="I35" s="33">
        <f>COUNT(I32)</f>
        <v>1</v>
      </c>
      <c r="M35" s="792" t="s">
        <v>479</v>
      </c>
    </row>
    <row r="36" spans="2:13" ht="22.5" customHeight="1" x14ac:dyDescent="0.2">
      <c r="B36" s="799" t="s">
        <v>207</v>
      </c>
      <c r="C36" s="799"/>
      <c r="D36" s="128">
        <v>3.5</v>
      </c>
      <c r="E36" s="128">
        <v>3.5</v>
      </c>
      <c r="F36" s="128">
        <v>3.5</v>
      </c>
      <c r="G36" s="128">
        <v>3.5</v>
      </c>
      <c r="H36" s="128">
        <v>3.5</v>
      </c>
      <c r="I36" s="128">
        <v>3.5</v>
      </c>
      <c r="M36" s="792"/>
    </row>
    <row r="37" spans="2:13" ht="22.5" customHeight="1" x14ac:dyDescent="0.2">
      <c r="B37" s="799" t="s">
        <v>208</v>
      </c>
      <c r="C37" s="799"/>
      <c r="D37" s="87">
        <f>D34/D35</f>
        <v>1</v>
      </c>
      <c r="E37" s="87">
        <f>E34/E35</f>
        <v>1</v>
      </c>
      <c r="F37" s="87">
        <f>F34/F35</f>
        <v>1</v>
      </c>
      <c r="G37" s="87">
        <f>G34/G35</f>
        <v>1</v>
      </c>
      <c r="H37" s="102">
        <v>1</v>
      </c>
      <c r="I37" s="102">
        <f>I34/I35</f>
        <v>1</v>
      </c>
      <c r="M37" s="792"/>
    </row>
    <row r="38" spans="2:13" ht="22.5" customHeight="1" x14ac:dyDescent="0.25">
      <c r="B38" s="7"/>
      <c r="C38" s="7"/>
      <c r="D38" s="6"/>
      <c r="E38" s="6"/>
      <c r="F38" s="6"/>
      <c r="G38" s="6"/>
      <c r="H38" s="6"/>
      <c r="I38" s="6"/>
      <c r="M38" s="792"/>
    </row>
    <row r="39" spans="2:13" ht="22.5" customHeight="1" x14ac:dyDescent="0.2">
      <c r="B39" s="567" t="s">
        <v>469</v>
      </c>
      <c r="C39" s="568"/>
      <c r="D39" s="568"/>
      <c r="E39" s="569"/>
      <c r="F39" s="8"/>
      <c r="M39" s="792"/>
    </row>
    <row r="40" spans="2:13" ht="22.5" customHeight="1" x14ac:dyDescent="0.2">
      <c r="B40" s="8"/>
      <c r="C40" s="8"/>
      <c r="D40" s="8"/>
      <c r="E40" s="8"/>
      <c r="F40" s="8"/>
      <c r="M40" s="792"/>
    </row>
    <row r="41" spans="2:13" ht="6" customHeight="1" x14ac:dyDescent="0.2">
      <c r="B41" s="8"/>
      <c r="C41" s="8"/>
      <c r="D41" s="8"/>
      <c r="E41" s="8"/>
      <c r="F41" s="8"/>
      <c r="M41" s="792"/>
    </row>
    <row r="42" spans="2:13" ht="19.5" customHeight="1" x14ac:dyDescent="0.2">
      <c r="B42" s="8"/>
      <c r="C42" s="8"/>
      <c r="D42" s="8"/>
      <c r="E42" s="8"/>
      <c r="F42" s="8"/>
      <c r="M42" s="792"/>
    </row>
    <row r="43" spans="2:13" ht="19.5" customHeight="1" x14ac:dyDescent="0.2">
      <c r="B43" s="8"/>
      <c r="C43" s="8"/>
      <c r="D43" s="8"/>
      <c r="E43" s="8"/>
      <c r="F43" s="8"/>
      <c r="M43" s="792"/>
    </row>
    <row r="44" spans="2:13" ht="19.5" customHeight="1" x14ac:dyDescent="0.2">
      <c r="B44" s="8"/>
      <c r="C44" s="8"/>
      <c r="D44" s="8"/>
      <c r="E44" s="8"/>
      <c r="F44" s="8"/>
      <c r="M44" s="792"/>
    </row>
    <row r="45" spans="2:13" ht="19.5" customHeight="1" x14ac:dyDescent="0.2">
      <c r="B45" s="8"/>
      <c r="C45" s="8"/>
      <c r="D45" s="8"/>
      <c r="E45" s="8"/>
      <c r="F45" s="8"/>
    </row>
    <row r="46" spans="2:13" ht="19.5" customHeight="1" x14ac:dyDescent="0.2">
      <c r="B46" s="8"/>
      <c r="C46" s="8"/>
      <c r="D46" s="8"/>
      <c r="E46" s="8"/>
      <c r="F46" s="8"/>
    </row>
    <row r="47" spans="2:13" ht="19.5" customHeight="1" x14ac:dyDescent="0.2">
      <c r="B47" s="8"/>
      <c r="C47" s="8"/>
      <c r="D47" s="8"/>
      <c r="E47" s="8"/>
      <c r="F47" s="8"/>
    </row>
    <row r="48" spans="2:13" ht="19.5" customHeight="1" x14ac:dyDescent="0.2">
      <c r="B48" s="8"/>
      <c r="C48" s="8"/>
      <c r="D48" s="8"/>
      <c r="E48" s="8"/>
      <c r="F48" s="8"/>
    </row>
    <row r="49" spans="2:10" ht="19.5" customHeight="1" x14ac:dyDescent="0.2">
      <c r="B49" s="8"/>
      <c r="C49" s="8"/>
      <c r="D49" s="8"/>
      <c r="E49" s="8"/>
      <c r="F49" s="8"/>
    </row>
    <row r="50" spans="2:10" ht="19.5" customHeight="1" x14ac:dyDescent="0.2"/>
    <row r="51" spans="2:10" ht="19.5" customHeight="1" x14ac:dyDescent="0.2">
      <c r="H51" s="559" t="s">
        <v>155</v>
      </c>
      <c r="I51" s="560"/>
      <c r="J51" s="560"/>
    </row>
  </sheetData>
  <sheetProtection formatCells="0" formatColumns="0" formatRows="0" insertColumns="0" insertRows="0" insertHyperlinks="0" deleteColumns="0" deleteRows="0" pivotTables="0"/>
  <mergeCells count="54">
    <mergeCell ref="B17:C17"/>
    <mergeCell ref="B16:C16"/>
    <mergeCell ref="M35:M44"/>
    <mergeCell ref="B14:C14"/>
    <mergeCell ref="B31:C31"/>
    <mergeCell ref="B30:C30"/>
    <mergeCell ref="B26:C26"/>
    <mergeCell ref="B25:C25"/>
    <mergeCell ref="B24:C24"/>
    <mergeCell ref="B23:C23"/>
    <mergeCell ref="B22:C22"/>
    <mergeCell ref="B21:C21"/>
    <mergeCell ref="B15:C15"/>
    <mergeCell ref="B20:C20"/>
    <mergeCell ref="B19:C19"/>
    <mergeCell ref="B18:C18"/>
    <mergeCell ref="F8:G8"/>
    <mergeCell ref="H8:J8"/>
    <mergeCell ref="D9:E9"/>
    <mergeCell ref="F9:G9"/>
    <mergeCell ref="H9:J9"/>
    <mergeCell ref="B2:D2"/>
    <mergeCell ref="E2:J2"/>
    <mergeCell ref="B4:C4"/>
    <mergeCell ref="D4:E4"/>
    <mergeCell ref="F4:G4"/>
    <mergeCell ref="H4:J4"/>
    <mergeCell ref="B11:J11"/>
    <mergeCell ref="B9:C9"/>
    <mergeCell ref="B5:C5"/>
    <mergeCell ref="D5:E5"/>
    <mergeCell ref="F5:G5"/>
    <mergeCell ref="H5:J5"/>
    <mergeCell ref="B7:C7"/>
    <mergeCell ref="D7:E7"/>
    <mergeCell ref="F7:G7"/>
    <mergeCell ref="B6:C6"/>
    <mergeCell ref="D6:E6"/>
    <mergeCell ref="F6:G6"/>
    <mergeCell ref="H6:J6"/>
    <mergeCell ref="H7:J7"/>
    <mergeCell ref="B8:C8"/>
    <mergeCell ref="D8:E8"/>
    <mergeCell ref="B29:C29"/>
    <mergeCell ref="B28:C28"/>
    <mergeCell ref="B27:C27"/>
    <mergeCell ref="H51:J51"/>
    <mergeCell ref="B32:C32"/>
    <mergeCell ref="B34:C34"/>
    <mergeCell ref="B35:C35"/>
    <mergeCell ref="B36:C36"/>
    <mergeCell ref="B37:C37"/>
    <mergeCell ref="B39:E39"/>
    <mergeCell ref="B33:C33"/>
  </mergeCells>
  <phoneticPr fontId="95" type="noConversion"/>
  <pageMargins left="0.7" right="0.7" top="0.75" bottom="0.75"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C493A-05CF-4F1C-9C8E-F142AA4154F7}">
  <sheetPr>
    <tabColor theme="9" tint="-0.499984740745262"/>
    <pageSetUpPr fitToPage="1"/>
  </sheetPr>
  <dimension ref="B2:U35"/>
  <sheetViews>
    <sheetView showGridLines="0" zoomScale="90" zoomScaleNormal="90" workbookViewId="0">
      <selection activeCell="L8" sqref="L8"/>
    </sheetView>
  </sheetViews>
  <sheetFormatPr defaultColWidth="12.5703125" defaultRowHeight="15.75" customHeight="1" x14ac:dyDescent="0.2"/>
  <cols>
    <col min="1" max="1" width="3.42578125" customWidth="1"/>
    <col min="2" max="2" width="14.140625" customWidth="1"/>
    <col min="3" max="3" width="21.28515625" customWidth="1"/>
    <col min="4" max="4" width="17.28515625" bestFit="1" customWidth="1"/>
    <col min="5" max="9" width="12.5703125" customWidth="1"/>
    <col min="10" max="10" width="36.2851562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Índex!B27</f>
        <v>PC2.03_Ind01.</v>
      </c>
      <c r="E4" s="716"/>
      <c r="F4" s="567" t="s">
        <v>194</v>
      </c>
      <c r="G4" s="569"/>
      <c r="H4" s="718" t="str">
        <f>Índex!C27</f>
        <v xml:space="preserve"> Nombre mínim d’entitats col·laboradores en el marc de PE, per curs acadèmic i titulació</v>
      </c>
      <c r="I4" s="715"/>
      <c r="J4" s="716"/>
    </row>
    <row r="5" spans="2:10" ht="22.5" customHeight="1" x14ac:dyDescent="0.2">
      <c r="B5" s="567" t="s">
        <v>195</v>
      </c>
      <c r="C5" s="569"/>
      <c r="D5" s="718">
        <f>Índex!F27</f>
        <v>10</v>
      </c>
      <c r="E5" s="716"/>
      <c r="F5" s="567" t="s">
        <v>196</v>
      </c>
      <c r="G5" s="569"/>
      <c r="H5" s="718" t="s">
        <v>216</v>
      </c>
      <c r="I5" s="715"/>
      <c r="J5" s="716"/>
    </row>
    <row r="6" spans="2:10" ht="37.5" customHeight="1" x14ac:dyDescent="0.2">
      <c r="B6" s="567" t="s">
        <v>497</v>
      </c>
      <c r="C6" s="569"/>
      <c r="D6" s="718" t="str">
        <f>Índex!H27</f>
        <v>Objectiu de Qualitat. Qualitat dels programes formatius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39.75" customHeight="1" x14ac:dyDescent="0.2">
      <c r="B8" s="567" t="s">
        <v>465</v>
      </c>
      <c r="C8" s="569"/>
      <c r="D8" s="718" t="str">
        <f>Índex!D27</f>
        <v>Vicedegà d’Economia i Afers Acadèmics de Postgrau</v>
      </c>
      <c r="E8" s="716"/>
      <c r="F8" s="567" t="s">
        <v>472</v>
      </c>
      <c r="G8" s="569"/>
      <c r="H8" s="718" t="str">
        <f>Índex!E27</f>
        <v xml:space="preserve">Persona responsable de convenis i pràctiques dins la Gestió Acadèmica </v>
      </c>
      <c r="I8" s="715"/>
      <c r="J8" s="716"/>
    </row>
    <row r="9" spans="2:10" ht="36" customHeight="1" x14ac:dyDescent="0.2">
      <c r="B9" s="567" t="s">
        <v>461</v>
      </c>
      <c r="C9" s="569"/>
      <c r="D9" s="718" t="str">
        <f>Índex!G27</f>
        <v>PC2.03 Programació de Pràctiques Externes (PE)</v>
      </c>
      <c r="E9" s="716"/>
      <c r="F9" s="567" t="s">
        <v>467</v>
      </c>
      <c r="G9" s="569"/>
      <c r="H9" s="718"/>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7" t="s">
        <v>155</v>
      </c>
      <c r="C12" s="12"/>
      <c r="D12" s="12"/>
      <c r="E12" s="12"/>
      <c r="F12" s="12"/>
      <c r="G12" s="12"/>
      <c r="H12" s="12"/>
      <c r="I12" s="12"/>
      <c r="J12" s="12"/>
    </row>
    <row r="13" spans="2:10" ht="22.5" customHeight="1" x14ac:dyDescent="0.2"/>
    <row r="14" spans="2:10" ht="22.5" customHeight="1" thickBot="1" x14ac:dyDescent="0.25">
      <c r="B14" s="14"/>
      <c r="C14" s="14"/>
      <c r="D14" s="86" t="s">
        <v>200</v>
      </c>
      <c r="E14" s="86" t="s">
        <v>201</v>
      </c>
      <c r="F14" s="86" t="s">
        <v>202</v>
      </c>
      <c r="G14" s="86" t="s">
        <v>203</v>
      </c>
      <c r="H14" s="84" t="s">
        <v>204</v>
      </c>
      <c r="I14" s="84" t="s">
        <v>205</v>
      </c>
      <c r="J14" s="84" t="s">
        <v>256</v>
      </c>
    </row>
    <row r="15" spans="2:10" ht="41.25" customHeight="1" thickBot="1" x14ac:dyDescent="0.25">
      <c r="B15" s="739" t="s">
        <v>218</v>
      </c>
      <c r="C15" s="813"/>
      <c r="D15" s="293">
        <v>41</v>
      </c>
      <c r="E15" s="293">
        <v>40</v>
      </c>
      <c r="F15" s="293">
        <v>27</v>
      </c>
      <c r="G15" s="293">
        <v>34</v>
      </c>
      <c r="H15" s="293">
        <v>32</v>
      </c>
      <c r="I15" s="314">
        <v>38</v>
      </c>
      <c r="J15" s="251">
        <v>21</v>
      </c>
    </row>
    <row r="16" spans="2:10" ht="41.25" customHeight="1" thickBot="1" x14ac:dyDescent="0.25">
      <c r="B16" s="739" t="s">
        <v>262</v>
      </c>
      <c r="C16" s="813"/>
      <c r="D16" s="293">
        <v>13</v>
      </c>
      <c r="E16" s="293">
        <v>14</v>
      </c>
      <c r="F16" s="293">
        <v>9</v>
      </c>
      <c r="G16" s="293">
        <v>19</v>
      </c>
      <c r="H16" s="293">
        <v>13</v>
      </c>
      <c r="I16" s="315">
        <v>24</v>
      </c>
      <c r="J16" s="252">
        <v>21</v>
      </c>
    </row>
    <row r="17" spans="2:21" ht="41.25" customHeight="1" thickBot="1" x14ac:dyDescent="0.25">
      <c r="B17" s="739" t="s">
        <v>221</v>
      </c>
      <c r="C17" s="813"/>
      <c r="D17" s="293">
        <v>35</v>
      </c>
      <c r="E17" s="293">
        <v>30</v>
      </c>
      <c r="F17" s="293">
        <v>17</v>
      </c>
      <c r="G17" s="293">
        <v>29</v>
      </c>
      <c r="H17" s="293">
        <v>25</v>
      </c>
      <c r="I17" s="315">
        <v>31</v>
      </c>
      <c r="J17" s="252">
        <v>27</v>
      </c>
    </row>
    <row r="18" spans="2:21" ht="41.25" customHeight="1" thickBot="1" x14ac:dyDescent="0.25">
      <c r="B18" s="739" t="s">
        <v>224</v>
      </c>
      <c r="C18" s="813"/>
      <c r="D18" s="293">
        <v>38</v>
      </c>
      <c r="E18" s="293">
        <v>33</v>
      </c>
      <c r="F18" s="293">
        <v>24</v>
      </c>
      <c r="G18" s="293">
        <v>28</v>
      </c>
      <c r="H18" s="293">
        <v>26</v>
      </c>
      <c r="I18" s="315">
        <v>23</v>
      </c>
      <c r="J18" s="252">
        <v>27</v>
      </c>
      <c r="R18" s="801" t="s">
        <v>470</v>
      </c>
      <c r="S18" s="802"/>
      <c r="T18" s="802"/>
      <c r="U18" s="803"/>
    </row>
    <row r="19" spans="2:21" ht="41.25" customHeight="1" thickBot="1" x14ac:dyDescent="0.25">
      <c r="B19" s="813" t="s">
        <v>225</v>
      </c>
      <c r="C19" s="814"/>
      <c r="D19" s="293" t="s">
        <v>213</v>
      </c>
      <c r="E19" s="293" t="s">
        <v>213</v>
      </c>
      <c r="F19" s="293" t="s">
        <v>213</v>
      </c>
      <c r="G19" s="293" t="s">
        <v>213</v>
      </c>
      <c r="H19" s="293">
        <v>11</v>
      </c>
      <c r="I19" s="315">
        <v>21</v>
      </c>
      <c r="J19" s="252">
        <v>37</v>
      </c>
      <c r="R19" s="804"/>
      <c r="S19" s="805"/>
      <c r="T19" s="805"/>
      <c r="U19" s="806"/>
    </row>
    <row r="20" spans="2:21" ht="41.25" customHeight="1" thickBot="1" x14ac:dyDescent="0.25">
      <c r="B20" s="739" t="s">
        <v>226</v>
      </c>
      <c r="C20" s="813"/>
      <c r="D20" s="293">
        <v>26</v>
      </c>
      <c r="E20" s="293">
        <v>29</v>
      </c>
      <c r="F20" s="293">
        <v>20</v>
      </c>
      <c r="G20" s="293">
        <v>30</v>
      </c>
      <c r="H20" s="293">
        <v>37</v>
      </c>
      <c r="I20" s="315">
        <v>26</v>
      </c>
      <c r="J20" s="252">
        <v>32</v>
      </c>
      <c r="K20" s="16"/>
      <c r="R20" s="807"/>
      <c r="S20" s="808"/>
      <c r="T20" s="808"/>
      <c r="U20" s="809"/>
    </row>
    <row r="21" spans="2:21" ht="41.25" customHeight="1" thickBot="1" x14ac:dyDescent="0.25">
      <c r="B21" s="739" t="s">
        <v>263</v>
      </c>
      <c r="C21" s="813"/>
      <c r="D21" s="293">
        <v>47</v>
      </c>
      <c r="E21" s="293">
        <v>18</v>
      </c>
      <c r="F21" s="293">
        <v>16</v>
      </c>
      <c r="G21" s="293">
        <v>19</v>
      </c>
      <c r="H21" s="293">
        <v>12</v>
      </c>
      <c r="I21" s="315">
        <v>18</v>
      </c>
      <c r="J21" s="252">
        <v>21</v>
      </c>
      <c r="K21" s="16"/>
      <c r="R21" s="807"/>
      <c r="S21" s="808"/>
      <c r="T21" s="808"/>
      <c r="U21" s="809"/>
    </row>
    <row r="22" spans="2:21" ht="41.25" customHeight="1" thickBot="1" x14ac:dyDescent="0.25">
      <c r="B22" s="815" t="s">
        <v>288</v>
      </c>
      <c r="C22" s="816"/>
      <c r="D22" s="316">
        <v>38</v>
      </c>
      <c r="E22" s="316">
        <v>40</v>
      </c>
      <c r="F22" s="316">
        <v>24</v>
      </c>
      <c r="G22" s="316">
        <v>31</v>
      </c>
      <c r="H22" s="293">
        <v>32</v>
      </c>
      <c r="I22" s="317">
        <v>44</v>
      </c>
      <c r="J22" s="253">
        <v>38</v>
      </c>
      <c r="K22" s="16"/>
      <c r="R22" s="807"/>
      <c r="S22" s="808"/>
      <c r="T22" s="808"/>
      <c r="U22" s="809"/>
    </row>
    <row r="23" spans="2:21" ht="41.25" customHeight="1" thickBot="1" x14ac:dyDescent="0.25">
      <c r="B23" s="817" t="s">
        <v>289</v>
      </c>
      <c r="C23" s="818"/>
      <c r="D23" s="318">
        <f t="shared" ref="D23:I23" si="0">$D$5</f>
        <v>10</v>
      </c>
      <c r="E23" s="318">
        <f t="shared" si="0"/>
        <v>10</v>
      </c>
      <c r="F23" s="318">
        <f t="shared" si="0"/>
        <v>10</v>
      </c>
      <c r="G23" s="318">
        <f t="shared" si="0"/>
        <v>10</v>
      </c>
      <c r="H23" s="318">
        <f t="shared" si="0"/>
        <v>10</v>
      </c>
      <c r="I23" s="318">
        <f t="shared" si="0"/>
        <v>10</v>
      </c>
      <c r="J23" s="450">
        <v>10</v>
      </c>
      <c r="R23" s="807"/>
      <c r="S23" s="808"/>
      <c r="T23" s="808"/>
      <c r="U23" s="809"/>
    </row>
    <row r="24" spans="2:21" ht="41.25" customHeight="1" thickBot="1" x14ac:dyDescent="0.25">
      <c r="B24" s="739" t="s">
        <v>290</v>
      </c>
      <c r="C24" s="739"/>
      <c r="D24" s="293">
        <f t="shared" ref="D24:I24" si="1">COUNTIF(D15:D22,"&gt;="&amp;D23)</f>
        <v>7</v>
      </c>
      <c r="E24" s="293">
        <f t="shared" si="1"/>
        <v>7</v>
      </c>
      <c r="F24" s="293">
        <f t="shared" si="1"/>
        <v>6</v>
      </c>
      <c r="G24" s="293">
        <f t="shared" si="1"/>
        <v>7</v>
      </c>
      <c r="H24" s="293">
        <f t="shared" si="1"/>
        <v>8</v>
      </c>
      <c r="I24" s="293">
        <f t="shared" si="1"/>
        <v>8</v>
      </c>
      <c r="J24" s="125">
        <v>8</v>
      </c>
      <c r="R24" s="810"/>
      <c r="S24" s="811"/>
      <c r="T24" s="811"/>
      <c r="U24" s="812"/>
    </row>
    <row r="25" spans="2:21" ht="22.5" customHeight="1" thickBot="1" x14ac:dyDescent="0.3">
      <c r="B25" s="821" t="s">
        <v>291</v>
      </c>
      <c r="C25" s="822"/>
      <c r="D25" s="319">
        <f t="shared" ref="D25:I25" si="2">COUNT(D15:D22)</f>
        <v>7</v>
      </c>
      <c r="E25" s="319">
        <f t="shared" si="2"/>
        <v>7</v>
      </c>
      <c r="F25" s="319">
        <f t="shared" si="2"/>
        <v>7</v>
      </c>
      <c r="G25" s="319">
        <f t="shared" si="2"/>
        <v>7</v>
      </c>
      <c r="H25" s="319">
        <f t="shared" si="2"/>
        <v>8</v>
      </c>
      <c r="I25" s="319">
        <f t="shared" si="2"/>
        <v>8</v>
      </c>
      <c r="J25" s="125">
        <v>8</v>
      </c>
    </row>
    <row r="26" spans="2:21" ht="22.5" customHeight="1" thickBot="1" x14ac:dyDescent="0.3">
      <c r="B26" s="823" t="s">
        <v>215</v>
      </c>
      <c r="C26" s="824"/>
      <c r="D26" s="295">
        <f t="shared" ref="D26:I26" si="3">D24/D25</f>
        <v>1</v>
      </c>
      <c r="E26" s="295">
        <f t="shared" si="3"/>
        <v>1</v>
      </c>
      <c r="F26" s="295">
        <f t="shared" si="3"/>
        <v>0.8571428571428571</v>
      </c>
      <c r="G26" s="295">
        <f t="shared" si="3"/>
        <v>1</v>
      </c>
      <c r="H26" s="295">
        <f t="shared" si="3"/>
        <v>1</v>
      </c>
      <c r="I26" s="295">
        <f t="shared" si="3"/>
        <v>1</v>
      </c>
      <c r="J26" s="451">
        <v>1</v>
      </c>
    </row>
    <row r="27" spans="2:21" ht="22.5" customHeight="1" x14ac:dyDescent="0.2">
      <c r="B27" s="819" t="s">
        <v>292</v>
      </c>
      <c r="C27" s="820"/>
      <c r="D27" s="820"/>
      <c r="E27" s="820"/>
      <c r="F27" s="8"/>
    </row>
    <row r="28" spans="2:21" ht="22.5" customHeight="1" x14ac:dyDescent="0.2">
      <c r="B28" s="567" t="s">
        <v>469</v>
      </c>
      <c r="C28" s="568"/>
      <c r="D28" s="568"/>
      <c r="E28" s="569"/>
      <c r="F28" s="8"/>
    </row>
    <row r="29" spans="2:21" ht="6" customHeight="1" x14ac:dyDescent="0.2">
      <c r="B29" s="8"/>
      <c r="C29" s="8"/>
      <c r="D29" s="8"/>
      <c r="E29" s="8"/>
      <c r="F29" s="8"/>
    </row>
    <row r="35" spans="8:10" ht="19.5" customHeight="1" x14ac:dyDescent="0.2">
      <c r="H35" s="559" t="s">
        <v>155</v>
      </c>
      <c r="I35" s="560"/>
      <c r="J35" s="560"/>
    </row>
  </sheetData>
  <sheetProtection formatCells="0" formatColumns="0" formatRows="0" insertColumns="0" insertRows="0" insertHyperlinks="0" deleteColumns="0" deleteRows="0" pivotTables="0"/>
  <mergeCells count="44">
    <mergeCell ref="B25:C25"/>
    <mergeCell ref="B26:C26"/>
    <mergeCell ref="B5:C5"/>
    <mergeCell ref="D5:E5"/>
    <mergeCell ref="F5:G5"/>
    <mergeCell ref="H5:J5"/>
    <mergeCell ref="B7:C7"/>
    <mergeCell ref="D7:E7"/>
    <mergeCell ref="B6:C6"/>
    <mergeCell ref="D6:E6"/>
    <mergeCell ref="F6:G6"/>
    <mergeCell ref="H6:J6"/>
    <mergeCell ref="H7:J7"/>
    <mergeCell ref="B2:D2"/>
    <mergeCell ref="E2:J2"/>
    <mergeCell ref="B4:C4"/>
    <mergeCell ref="D4:E4"/>
    <mergeCell ref="F4:G4"/>
    <mergeCell ref="H4:J4"/>
    <mergeCell ref="H35:J35"/>
    <mergeCell ref="B21:C21"/>
    <mergeCell ref="B22:C22"/>
    <mergeCell ref="F7:G7"/>
    <mergeCell ref="B20:C20"/>
    <mergeCell ref="B9:C9"/>
    <mergeCell ref="B11:J11"/>
    <mergeCell ref="B15:C15"/>
    <mergeCell ref="B16:C16"/>
    <mergeCell ref="B17:C17"/>
    <mergeCell ref="B18:C18"/>
    <mergeCell ref="B23:C23"/>
    <mergeCell ref="B24:C24"/>
    <mergeCell ref="B28:E28"/>
    <mergeCell ref="B27:E27"/>
    <mergeCell ref="B8:C8"/>
    <mergeCell ref="R18:U18"/>
    <mergeCell ref="R19:U24"/>
    <mergeCell ref="B19:C19"/>
    <mergeCell ref="F8:G8"/>
    <mergeCell ref="H8:J8"/>
    <mergeCell ref="D9:E9"/>
    <mergeCell ref="F9:G9"/>
    <mergeCell ref="H9:J9"/>
    <mergeCell ref="D8:E8"/>
  </mergeCells>
  <phoneticPr fontId="95" type="noConversion"/>
  <conditionalFormatting sqref="D15:I22">
    <cfRule type="cellIs" dxfId="44" priority="1" operator="lessThan">
      <formula>10</formula>
    </cfRule>
  </conditionalFormatting>
  <pageMargins left="0.7" right="0.7" top="0.75" bottom="0.75" header="0" footer="0"/>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DFBB8-75B3-4A71-ACDC-6EF974077BEB}">
  <sheetPr>
    <tabColor theme="9" tint="-0.499984740745262"/>
    <pageSetUpPr fitToPage="1"/>
  </sheetPr>
  <dimension ref="B2:S43"/>
  <sheetViews>
    <sheetView showGridLines="0" zoomScale="95" zoomScaleNormal="95" workbookViewId="0">
      <selection activeCell="N9" sqref="N9"/>
    </sheetView>
  </sheetViews>
  <sheetFormatPr defaultColWidth="12.5703125" defaultRowHeight="15.75" customHeight="1" x14ac:dyDescent="0.2"/>
  <cols>
    <col min="1" max="1" width="3.42578125" customWidth="1"/>
    <col min="2" max="2" width="14.140625" customWidth="1"/>
    <col min="3" max="3" width="17" customWidth="1"/>
    <col min="4" max="4" width="17.28515625" customWidth="1"/>
    <col min="5" max="9" width="12.5703125" customWidth="1"/>
    <col min="10" max="10" width="36.2851562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Índex!B28</f>
        <v xml:space="preserve">PC2.03_Ind02. </v>
      </c>
      <c r="E4" s="716"/>
      <c r="F4" s="567" t="s">
        <v>194</v>
      </c>
      <c r="G4" s="569"/>
      <c r="H4" s="718" t="str">
        <f>Índex!C28</f>
        <v xml:space="preserve"> Grau de satisfacció dels/de les participants en programes de Pràctiques Externes. (Graus) (Enquesta Titulats)</v>
      </c>
      <c r="I4" s="715"/>
      <c r="J4" s="716"/>
    </row>
    <row r="5" spans="2:10" ht="22.5" customHeight="1" x14ac:dyDescent="0.2">
      <c r="B5" s="567" t="s">
        <v>195</v>
      </c>
      <c r="C5" s="569"/>
      <c r="D5" s="718" t="str">
        <f>Índex!F28</f>
        <v>≥3</v>
      </c>
      <c r="E5" s="716"/>
      <c r="F5" s="567" t="s">
        <v>196</v>
      </c>
      <c r="G5" s="569"/>
      <c r="H5" s="718" t="s">
        <v>216</v>
      </c>
      <c r="I5" s="715"/>
      <c r="J5" s="716"/>
    </row>
    <row r="6" spans="2:10" ht="22.5" customHeight="1" x14ac:dyDescent="0.2">
      <c r="B6" s="567" t="s">
        <v>471</v>
      </c>
      <c r="C6" s="569"/>
      <c r="D6" s="718" t="str">
        <f>Índex!H28</f>
        <v>Objectiu de Qualitat. Grups d'interès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29.25" customHeight="1" x14ac:dyDescent="0.2">
      <c r="B8" s="567" t="s">
        <v>465</v>
      </c>
      <c r="C8" s="569"/>
      <c r="D8" s="718" t="str">
        <f>Índex!D28</f>
        <v>Vicedegà d’Economia i Afers Acadèmics de Postgrau</v>
      </c>
      <c r="E8" s="716"/>
      <c r="F8" s="567" t="s">
        <v>472</v>
      </c>
      <c r="G8" s="569"/>
      <c r="H8" s="718" t="str">
        <f>Índex!E28</f>
        <v>Gestora de Qualitat</v>
      </c>
      <c r="I8" s="715"/>
      <c r="J8" s="716"/>
    </row>
    <row r="9" spans="2:10" ht="44.25" customHeight="1" x14ac:dyDescent="0.2">
      <c r="B9" s="567" t="s">
        <v>461</v>
      </c>
      <c r="C9" s="569"/>
      <c r="D9" s="718" t="str">
        <f>Índex!G28</f>
        <v>PC2.03 Programació de Pràctiques Externes (PE)</v>
      </c>
      <c r="E9" s="716"/>
      <c r="F9" s="567" t="s">
        <v>467</v>
      </c>
      <c r="G9" s="569"/>
      <c r="H9" s="718" t="s">
        <v>498</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6" t="s">
        <v>200</v>
      </c>
      <c r="E14" s="86" t="s">
        <v>201</v>
      </c>
      <c r="F14" s="86" t="s">
        <v>202</v>
      </c>
      <c r="G14" s="86" t="s">
        <v>203</v>
      </c>
      <c r="H14" s="86" t="s">
        <v>204</v>
      </c>
      <c r="I14" s="86" t="s">
        <v>205</v>
      </c>
    </row>
    <row r="15" spans="2:10" ht="22.5" customHeight="1" x14ac:dyDescent="0.2">
      <c r="B15" s="739" t="s">
        <v>218</v>
      </c>
      <c r="C15" s="739"/>
      <c r="D15" s="81">
        <v>3.8</v>
      </c>
      <c r="E15" s="81" t="s">
        <v>213</v>
      </c>
      <c r="F15" s="81">
        <v>3.75</v>
      </c>
      <c r="G15" s="81">
        <v>3.5</v>
      </c>
      <c r="H15" s="321">
        <v>3.56</v>
      </c>
      <c r="I15" s="321">
        <v>3.77</v>
      </c>
    </row>
    <row r="16" spans="2:10" ht="30" customHeight="1" x14ac:dyDescent="0.2">
      <c r="B16" s="739" t="s">
        <v>235</v>
      </c>
      <c r="C16" s="739"/>
      <c r="D16" s="81" t="s">
        <v>213</v>
      </c>
      <c r="E16" s="81" t="s">
        <v>213</v>
      </c>
      <c r="F16" s="81">
        <v>4.4000000000000004</v>
      </c>
      <c r="G16" s="81">
        <v>3</v>
      </c>
      <c r="H16" s="321">
        <v>3.71</v>
      </c>
      <c r="I16" s="321">
        <v>3.43</v>
      </c>
    </row>
    <row r="17" spans="2:19" ht="22.5" customHeight="1" x14ac:dyDescent="0.2">
      <c r="B17" s="739" t="s">
        <v>262</v>
      </c>
      <c r="C17" s="739"/>
      <c r="D17" s="81" t="s">
        <v>213</v>
      </c>
      <c r="E17" s="81">
        <v>4.33</v>
      </c>
      <c r="F17" s="81">
        <v>4</v>
      </c>
      <c r="G17" s="81">
        <v>3</v>
      </c>
      <c r="H17" s="321">
        <v>4.17</v>
      </c>
      <c r="I17" s="321">
        <v>3.78</v>
      </c>
    </row>
    <row r="18" spans="2:19" ht="22.5" customHeight="1" x14ac:dyDescent="0.2">
      <c r="B18" s="739" t="s">
        <v>221</v>
      </c>
      <c r="C18" s="739"/>
      <c r="D18" s="81" t="s">
        <v>213</v>
      </c>
      <c r="E18" s="81" t="s">
        <v>213</v>
      </c>
      <c r="F18" s="81" t="s">
        <v>213</v>
      </c>
      <c r="G18" s="81">
        <v>5</v>
      </c>
      <c r="H18" s="321">
        <v>3.27</v>
      </c>
      <c r="I18" s="321">
        <v>3.07</v>
      </c>
      <c r="K18" s="21"/>
    </row>
    <row r="19" spans="2:19" ht="22.5" customHeight="1" x14ac:dyDescent="0.2">
      <c r="B19" s="739" t="s">
        <v>294</v>
      </c>
      <c r="C19" s="739"/>
      <c r="D19" s="81">
        <v>2.71</v>
      </c>
      <c r="E19" s="81">
        <v>3.33</v>
      </c>
      <c r="F19" s="81" t="s">
        <v>213</v>
      </c>
      <c r="G19" s="81">
        <v>2</v>
      </c>
      <c r="H19" s="321">
        <v>4</v>
      </c>
      <c r="I19" s="321">
        <v>4.5</v>
      </c>
      <c r="K19" s="21"/>
    </row>
    <row r="20" spans="2:19" ht="22.5" customHeight="1" x14ac:dyDescent="0.2">
      <c r="B20" s="739" t="s">
        <v>295</v>
      </c>
      <c r="C20" s="739"/>
      <c r="D20" s="81">
        <v>3.4</v>
      </c>
      <c r="E20" s="81" t="s">
        <v>213</v>
      </c>
      <c r="F20" s="81" t="s">
        <v>213</v>
      </c>
      <c r="G20" s="81" t="s">
        <v>213</v>
      </c>
      <c r="H20" s="321">
        <v>3.8</v>
      </c>
      <c r="I20" s="321">
        <v>2</v>
      </c>
      <c r="K20" s="21"/>
    </row>
    <row r="21" spans="2:19" ht="22.5" customHeight="1" x14ac:dyDescent="0.2">
      <c r="B21" s="739" t="s">
        <v>224</v>
      </c>
      <c r="C21" s="739"/>
      <c r="D21" s="81">
        <v>3.22</v>
      </c>
      <c r="E21" s="81">
        <v>3.35</v>
      </c>
      <c r="F21" s="81">
        <v>3.58</v>
      </c>
      <c r="G21" s="81">
        <v>2.83</v>
      </c>
      <c r="H21" s="321">
        <v>3.71</v>
      </c>
      <c r="I21" s="321" t="s">
        <v>213</v>
      </c>
      <c r="K21" s="21"/>
    </row>
    <row r="22" spans="2:19" ht="30.75" customHeight="1" x14ac:dyDescent="0.2">
      <c r="B22" s="739" t="s">
        <v>225</v>
      </c>
      <c r="C22" s="739"/>
      <c r="D22" s="81" t="s">
        <v>213</v>
      </c>
      <c r="E22" s="81" t="s">
        <v>213</v>
      </c>
      <c r="F22" s="81" t="s">
        <v>213</v>
      </c>
      <c r="G22" s="81" t="s">
        <v>213</v>
      </c>
      <c r="H22" s="321">
        <v>4.4000000000000004</v>
      </c>
      <c r="I22" s="321">
        <v>3.55</v>
      </c>
      <c r="K22" s="21"/>
    </row>
    <row r="23" spans="2:19" ht="22.5" customHeight="1" x14ac:dyDescent="0.2">
      <c r="B23" s="739" t="s">
        <v>226</v>
      </c>
      <c r="C23" s="739"/>
      <c r="D23" s="81">
        <v>3.7</v>
      </c>
      <c r="E23" s="81">
        <v>2.09</v>
      </c>
      <c r="F23" s="81">
        <v>2.91</v>
      </c>
      <c r="G23" s="81">
        <v>2.5</v>
      </c>
      <c r="H23" s="321">
        <v>3.27</v>
      </c>
      <c r="I23" s="321">
        <v>3.5</v>
      </c>
      <c r="P23" s="827" t="s">
        <v>470</v>
      </c>
      <c r="Q23" s="827"/>
      <c r="R23" s="827"/>
      <c r="S23" s="827"/>
    </row>
    <row r="24" spans="2:19" ht="22.5" customHeight="1" x14ac:dyDescent="0.2">
      <c r="B24" s="739" t="s">
        <v>263</v>
      </c>
      <c r="C24" s="739"/>
      <c r="D24" s="81">
        <v>3.48</v>
      </c>
      <c r="E24" s="81">
        <v>2.62</v>
      </c>
      <c r="F24" s="81">
        <v>3</v>
      </c>
      <c r="G24" s="81">
        <v>2.25</v>
      </c>
      <c r="H24" s="321">
        <v>3.67</v>
      </c>
      <c r="I24" s="321">
        <v>3.64</v>
      </c>
      <c r="P24" s="828" t="s">
        <v>499</v>
      </c>
      <c r="Q24" s="829"/>
      <c r="R24" s="829"/>
      <c r="S24" s="830"/>
    </row>
    <row r="25" spans="2:19" ht="22.5" customHeight="1" x14ac:dyDescent="0.2">
      <c r="B25" s="739" t="s">
        <v>228</v>
      </c>
      <c r="C25" s="739"/>
      <c r="D25" s="81">
        <v>3.4</v>
      </c>
      <c r="E25" s="81">
        <v>4.22</v>
      </c>
      <c r="F25" s="81">
        <v>4.1500000000000004</v>
      </c>
      <c r="G25" s="81">
        <v>2</v>
      </c>
      <c r="H25" s="321">
        <v>3.29</v>
      </c>
      <c r="I25" s="321">
        <v>3.73</v>
      </c>
      <c r="P25" s="831"/>
      <c r="Q25" s="832"/>
      <c r="R25" s="832"/>
      <c r="S25" s="833"/>
    </row>
    <row r="26" spans="2:19" ht="22.5" customHeight="1" x14ac:dyDescent="0.25">
      <c r="B26" s="732" t="str">
        <f>D5</f>
        <v>≥3</v>
      </c>
      <c r="C26" s="732"/>
      <c r="D26" s="320">
        <f t="shared" ref="D26:I26" si="0">COUNTIF(D15:D25,"&gt;="&amp;D28)</f>
        <v>6</v>
      </c>
      <c r="E26" s="320">
        <f t="shared" si="0"/>
        <v>4</v>
      </c>
      <c r="F26" s="320">
        <f t="shared" si="0"/>
        <v>6</v>
      </c>
      <c r="G26" s="320">
        <f t="shared" si="0"/>
        <v>4</v>
      </c>
      <c r="H26" s="320">
        <f t="shared" si="0"/>
        <v>11</v>
      </c>
      <c r="I26" s="320">
        <f t="shared" si="0"/>
        <v>9</v>
      </c>
      <c r="P26" s="831"/>
      <c r="Q26" s="832"/>
      <c r="R26" s="832"/>
      <c r="S26" s="833"/>
    </row>
    <row r="27" spans="2:19" ht="22.5" customHeight="1" x14ac:dyDescent="0.25">
      <c r="B27" s="732" t="s">
        <v>231</v>
      </c>
      <c r="C27" s="732"/>
      <c r="D27" s="312">
        <f t="shared" ref="D27:I27" si="1">COUNT(D15:D25)</f>
        <v>7</v>
      </c>
      <c r="E27" s="312">
        <f t="shared" si="1"/>
        <v>6</v>
      </c>
      <c r="F27" s="312">
        <f t="shared" si="1"/>
        <v>7</v>
      </c>
      <c r="G27" s="312">
        <f t="shared" si="1"/>
        <v>9</v>
      </c>
      <c r="H27" s="312">
        <f t="shared" si="1"/>
        <v>11</v>
      </c>
      <c r="I27" s="312">
        <f t="shared" si="1"/>
        <v>10</v>
      </c>
      <c r="P27" s="831"/>
      <c r="Q27" s="832"/>
      <c r="R27" s="832"/>
      <c r="S27" s="833"/>
    </row>
    <row r="28" spans="2:19" ht="22.5" customHeight="1" x14ac:dyDescent="0.2">
      <c r="B28" s="825" t="s">
        <v>207</v>
      </c>
      <c r="C28" s="826"/>
      <c r="D28" s="194">
        <v>3</v>
      </c>
      <c r="E28" s="194">
        <v>3</v>
      </c>
      <c r="F28" s="194">
        <v>3</v>
      </c>
      <c r="G28" s="194">
        <v>3</v>
      </c>
      <c r="H28" s="194">
        <v>3</v>
      </c>
      <c r="I28" s="194">
        <v>3</v>
      </c>
      <c r="P28" s="831"/>
      <c r="Q28" s="832"/>
      <c r="R28" s="832"/>
      <c r="S28" s="833"/>
    </row>
    <row r="29" spans="2:19" ht="22.5" customHeight="1" x14ac:dyDescent="0.2">
      <c r="B29" s="730" t="s">
        <v>208</v>
      </c>
      <c r="C29" s="787"/>
      <c r="D29" s="54">
        <f t="shared" ref="D29:I29" si="2">D26/D27</f>
        <v>0.8571428571428571</v>
      </c>
      <c r="E29" s="54">
        <f t="shared" si="2"/>
        <v>0.66666666666666663</v>
      </c>
      <c r="F29" s="54">
        <f>F26/F27</f>
        <v>0.8571428571428571</v>
      </c>
      <c r="G29" s="54">
        <f t="shared" si="2"/>
        <v>0.44444444444444442</v>
      </c>
      <c r="H29" s="54">
        <f t="shared" si="2"/>
        <v>1</v>
      </c>
      <c r="I29" s="54">
        <f t="shared" si="2"/>
        <v>0.9</v>
      </c>
      <c r="P29" s="831"/>
      <c r="Q29" s="832"/>
      <c r="R29" s="832"/>
      <c r="S29" s="833"/>
    </row>
    <row r="30" spans="2:19" ht="22.5" customHeight="1" x14ac:dyDescent="0.25">
      <c r="B30" s="7"/>
      <c r="C30" s="7"/>
      <c r="D30" s="6"/>
      <c r="E30" s="6"/>
      <c r="F30" s="6"/>
      <c r="G30" s="6"/>
      <c r="H30" s="6"/>
      <c r="I30" s="6"/>
      <c r="P30" s="831"/>
      <c r="Q30" s="832"/>
      <c r="R30" s="832"/>
      <c r="S30" s="833"/>
    </row>
    <row r="31" spans="2:19" ht="22.5" customHeight="1" x14ac:dyDescent="0.2">
      <c r="B31" s="567" t="s">
        <v>469</v>
      </c>
      <c r="C31" s="568"/>
      <c r="D31" s="568"/>
      <c r="E31" s="569"/>
      <c r="F31" s="8"/>
      <c r="P31" s="831"/>
      <c r="Q31" s="832"/>
      <c r="R31" s="832"/>
      <c r="S31" s="833"/>
    </row>
    <row r="32" spans="2:19" ht="22.5" customHeight="1" x14ac:dyDescent="0.2">
      <c r="B32" s="8"/>
      <c r="C32" s="8"/>
      <c r="D32" s="8"/>
      <c r="E32" s="8"/>
      <c r="F32" s="8"/>
      <c r="P32" s="834"/>
      <c r="Q32" s="835"/>
      <c r="R32" s="835"/>
      <c r="S32" s="836"/>
    </row>
    <row r="43" spans="8:10" ht="19.5" customHeight="1" x14ac:dyDescent="0.2">
      <c r="H43" s="559" t="s">
        <v>155</v>
      </c>
      <c r="I43" s="560"/>
      <c r="J43" s="560"/>
    </row>
  </sheetData>
  <sheetProtection formatCells="0" formatColumns="0" formatRows="0" insertColumns="0" insertRows="0" insertHyperlinks="0" deleteColumns="0" deleteRows="0" pivotTables="0"/>
  <mergeCells count="46">
    <mergeCell ref="P23:S23"/>
    <mergeCell ref="B22:C22"/>
    <mergeCell ref="B21:C21"/>
    <mergeCell ref="P24:S32"/>
    <mergeCell ref="B8:C8"/>
    <mergeCell ref="D8:E8"/>
    <mergeCell ref="F8:G8"/>
    <mergeCell ref="H8:J8"/>
    <mergeCell ref="D9:E9"/>
    <mergeCell ref="F9:G9"/>
    <mergeCell ref="H9:J9"/>
    <mergeCell ref="B9:C9"/>
    <mergeCell ref="B31:E31"/>
    <mergeCell ref="B20:C20"/>
    <mergeCell ref="B25:C25"/>
    <mergeCell ref="B24:C24"/>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 ref="H43:J43"/>
    <mergeCell ref="B11:J11"/>
    <mergeCell ref="B26:C26"/>
    <mergeCell ref="B27:C27"/>
    <mergeCell ref="B29:C29"/>
    <mergeCell ref="B15:C15"/>
    <mergeCell ref="B17:C17"/>
    <mergeCell ref="B18:C18"/>
    <mergeCell ref="B23:C23"/>
    <mergeCell ref="B16:C16"/>
    <mergeCell ref="B19:C19"/>
    <mergeCell ref="B28:C28"/>
  </mergeCells>
  <phoneticPr fontId="95" type="noConversion"/>
  <conditionalFormatting sqref="D15:I25">
    <cfRule type="cellIs" dxfId="43" priority="1" operator="lessThan">
      <formula>3</formula>
    </cfRule>
  </conditionalFormatting>
  <pageMargins left="0.7" right="0.7" top="0.75" bottom="0.75" header="0" footer="0"/>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8B56-0B67-404B-83ED-37656FE57068}">
  <sheetPr>
    <tabColor theme="9" tint="-0.499984740745262"/>
    <pageSetUpPr fitToPage="1"/>
  </sheetPr>
  <dimension ref="A1:S51"/>
  <sheetViews>
    <sheetView showGridLines="0" zoomScale="90" zoomScaleNormal="90" workbookViewId="0">
      <selection activeCell="N6" sqref="N6"/>
    </sheetView>
  </sheetViews>
  <sheetFormatPr defaultColWidth="12.5703125" defaultRowHeight="15.75" customHeight="1" x14ac:dyDescent="0.2"/>
  <cols>
    <col min="1" max="1" width="3.42578125" customWidth="1"/>
    <col min="2" max="2" width="14.140625" customWidth="1"/>
    <col min="3" max="3" width="18.140625" customWidth="1"/>
    <col min="4" max="4" width="17.28515625" bestFit="1" customWidth="1"/>
    <col min="5" max="9" width="12.5703125" customWidth="1"/>
    <col min="10" max="10" width="36.28515625" customWidth="1"/>
    <col min="11" max="11" width="16.140625" customWidth="1"/>
    <col min="12" max="13" width="7.5703125" customWidth="1"/>
    <col min="14" max="14" width="19" customWidth="1"/>
    <col min="15" max="21" width="7.5703125" customWidth="1"/>
  </cols>
  <sheetData>
    <row r="1" spans="1:10" ht="22.5" customHeight="1" x14ac:dyDescent="0.2">
      <c r="A1">
        <v>3</v>
      </c>
    </row>
    <row r="2" spans="1:10" ht="55.5" customHeight="1" x14ac:dyDescent="0.2">
      <c r="B2" s="714"/>
      <c r="C2" s="715"/>
      <c r="D2" s="716"/>
      <c r="E2" s="717" t="s">
        <v>192</v>
      </c>
      <c r="F2" s="715"/>
      <c r="G2" s="715"/>
      <c r="H2" s="715"/>
      <c r="I2" s="715"/>
      <c r="J2" s="716"/>
    </row>
    <row r="3" spans="1:10" ht="22.5" customHeight="1" x14ac:dyDescent="0.2">
      <c r="B3" s="41"/>
      <c r="C3" s="41"/>
      <c r="D3" s="42"/>
      <c r="E3" s="42"/>
      <c r="F3" s="42"/>
      <c r="G3" s="42"/>
      <c r="H3" s="42"/>
      <c r="I3" s="42"/>
    </row>
    <row r="4" spans="1:10" ht="42" customHeight="1" x14ac:dyDescent="0.2">
      <c r="B4" s="567" t="s">
        <v>193</v>
      </c>
      <c r="C4" s="569"/>
      <c r="D4" s="718" t="str">
        <f>Índex!B29</f>
        <v xml:space="preserve"> PC2.04_Ind01.</v>
      </c>
      <c r="E4" s="716"/>
      <c r="F4" s="567" t="s">
        <v>194</v>
      </c>
      <c r="G4" s="569"/>
      <c r="H4" s="718" t="str">
        <f>Índex!C29</f>
        <v>Nombre de Comissions de Docència realitzades per curs i titulació</v>
      </c>
      <c r="I4" s="715"/>
      <c r="J4" s="716"/>
    </row>
    <row r="5" spans="1:10" ht="22.5" customHeight="1" x14ac:dyDescent="0.2">
      <c r="B5" s="567" t="s">
        <v>195</v>
      </c>
      <c r="C5" s="569"/>
      <c r="D5" s="718" t="str">
        <f>Índex!F29</f>
        <v>≥1</v>
      </c>
      <c r="E5" s="716"/>
      <c r="F5" s="567" t="s">
        <v>196</v>
      </c>
      <c r="G5" s="569"/>
      <c r="H5" s="718" t="s">
        <v>197</v>
      </c>
      <c r="I5" s="715"/>
      <c r="J5" s="716"/>
    </row>
    <row r="6" spans="1:10" ht="35.25" customHeight="1" x14ac:dyDescent="0.2">
      <c r="B6" s="567" t="s">
        <v>471</v>
      </c>
      <c r="C6" s="569"/>
      <c r="D6" s="718" t="str">
        <f>Índex!H29</f>
        <v>Objectiu de Qualitat. Qualitat dels programes formatius</v>
      </c>
      <c r="E6" s="716"/>
      <c r="F6" s="567" t="s">
        <v>462</v>
      </c>
      <c r="G6" s="569"/>
      <c r="H6" s="718"/>
      <c r="I6" s="715"/>
      <c r="J6" s="716"/>
    </row>
    <row r="7" spans="1:10" ht="22.5" customHeight="1" x14ac:dyDescent="0.2">
      <c r="B7" s="567" t="s">
        <v>463</v>
      </c>
      <c r="C7" s="569"/>
      <c r="D7" s="718"/>
      <c r="E7" s="716"/>
      <c r="F7" s="567" t="s">
        <v>464</v>
      </c>
      <c r="G7" s="569"/>
      <c r="H7" s="718" t="s">
        <v>198</v>
      </c>
      <c r="I7" s="715"/>
      <c r="J7" s="716"/>
    </row>
    <row r="8" spans="1:10" ht="27" customHeight="1" x14ac:dyDescent="0.2">
      <c r="B8" s="567" t="s">
        <v>465</v>
      </c>
      <c r="C8" s="569"/>
      <c r="D8" s="718" t="str">
        <f>Índex!D29</f>
        <v>Vicedegà d’Economia i Afers Acadèmics de Postgrau</v>
      </c>
      <c r="E8" s="716"/>
      <c r="F8" s="567" t="s">
        <v>472</v>
      </c>
      <c r="G8" s="569"/>
      <c r="H8" s="718" t="str">
        <f>Índex!E29</f>
        <v>Gestora de Qualitat</v>
      </c>
      <c r="I8" s="715"/>
      <c r="J8" s="716"/>
    </row>
    <row r="9" spans="1:10" ht="44.25" customHeight="1" x14ac:dyDescent="0.2">
      <c r="B9" s="567" t="s">
        <v>461</v>
      </c>
      <c r="C9" s="569"/>
      <c r="D9" s="718" t="str">
        <f>Índex!G29</f>
        <v>PC2.04. Seguiment  i Millora de Titulacions</v>
      </c>
      <c r="E9" s="716"/>
      <c r="F9" s="567" t="s">
        <v>467</v>
      </c>
      <c r="G9" s="569"/>
      <c r="H9" s="718"/>
      <c r="I9" s="715"/>
      <c r="J9" s="716"/>
    </row>
    <row r="10" spans="1:10" ht="7.5" customHeight="1" x14ac:dyDescent="0.2"/>
    <row r="11" spans="1:10" ht="22.5" customHeight="1" x14ac:dyDescent="0.2">
      <c r="B11" s="567" t="s">
        <v>468</v>
      </c>
      <c r="C11" s="568"/>
      <c r="D11" s="568"/>
      <c r="E11" s="568"/>
      <c r="F11" s="568"/>
      <c r="G11" s="568"/>
      <c r="H11" s="568"/>
      <c r="I11" s="568"/>
      <c r="J11" s="569"/>
    </row>
    <row r="12" spans="1:10" ht="22.5" customHeight="1" x14ac:dyDescent="0.2"/>
    <row r="13" spans="1:10" ht="22.5" customHeight="1" x14ac:dyDescent="0.2">
      <c r="B13" s="14"/>
      <c r="C13" s="14"/>
      <c r="D13" s="86" t="s">
        <v>200</v>
      </c>
      <c r="E13" s="86" t="s">
        <v>201</v>
      </c>
      <c r="F13" s="86" t="s">
        <v>202</v>
      </c>
      <c r="G13" s="86" t="s">
        <v>203</v>
      </c>
      <c r="H13" s="86" t="s">
        <v>204</v>
      </c>
      <c r="I13" s="84" t="s">
        <v>205</v>
      </c>
      <c r="J13" s="86" t="s">
        <v>256</v>
      </c>
    </row>
    <row r="14" spans="1:10" ht="41.25" customHeight="1" x14ac:dyDescent="0.2">
      <c r="B14" s="840" t="s">
        <v>218</v>
      </c>
      <c r="C14" s="840"/>
      <c r="D14" s="323">
        <v>2</v>
      </c>
      <c r="E14" s="323">
        <v>1</v>
      </c>
      <c r="F14" s="323">
        <v>4</v>
      </c>
      <c r="G14" s="293">
        <v>1</v>
      </c>
      <c r="H14" s="324">
        <v>2</v>
      </c>
      <c r="I14" s="452">
        <v>3</v>
      </c>
      <c r="J14" s="28">
        <v>1</v>
      </c>
    </row>
    <row r="15" spans="1:10" ht="41.25" customHeight="1" x14ac:dyDescent="0.25">
      <c r="B15" s="841" t="s">
        <v>235</v>
      </c>
      <c r="C15" s="841"/>
      <c r="D15" s="323">
        <v>2</v>
      </c>
      <c r="E15" s="323">
        <v>2</v>
      </c>
      <c r="F15" s="323">
        <v>2</v>
      </c>
      <c r="G15" s="293">
        <v>2</v>
      </c>
      <c r="H15" s="324">
        <v>1</v>
      </c>
      <c r="I15" s="453">
        <v>1</v>
      </c>
      <c r="J15" s="28">
        <v>1</v>
      </c>
    </row>
    <row r="16" spans="1:10" ht="41.25" customHeight="1" x14ac:dyDescent="0.2">
      <c r="B16" s="839" t="s">
        <v>262</v>
      </c>
      <c r="C16" s="839"/>
      <c r="D16" s="323">
        <v>1</v>
      </c>
      <c r="E16" s="323">
        <v>2</v>
      </c>
      <c r="F16" s="323">
        <v>2</v>
      </c>
      <c r="G16" s="293">
        <v>1</v>
      </c>
      <c r="H16" s="324">
        <v>2</v>
      </c>
      <c r="I16" s="452">
        <v>1</v>
      </c>
      <c r="J16" s="28">
        <v>2</v>
      </c>
    </row>
    <row r="17" spans="2:19" ht="41.25" customHeight="1" x14ac:dyDescent="0.2">
      <c r="B17" s="839" t="s">
        <v>221</v>
      </c>
      <c r="C17" s="839"/>
      <c r="D17" s="323">
        <v>1</v>
      </c>
      <c r="E17" s="323">
        <v>3</v>
      </c>
      <c r="F17" s="323">
        <v>3</v>
      </c>
      <c r="G17" s="293">
        <v>2</v>
      </c>
      <c r="H17" s="324">
        <v>2</v>
      </c>
      <c r="I17" s="452">
        <v>2</v>
      </c>
      <c r="J17" s="28">
        <v>1</v>
      </c>
    </row>
    <row r="18" spans="2:19" ht="41.25" customHeight="1" x14ac:dyDescent="0.2">
      <c r="B18" s="839" t="s">
        <v>294</v>
      </c>
      <c r="C18" s="839"/>
      <c r="D18" s="323">
        <v>2</v>
      </c>
      <c r="E18" s="323">
        <v>3</v>
      </c>
      <c r="F18" s="323">
        <v>3</v>
      </c>
      <c r="G18" s="293">
        <v>1</v>
      </c>
      <c r="H18" s="324">
        <v>1</v>
      </c>
      <c r="I18" s="452">
        <v>3</v>
      </c>
      <c r="J18" s="28">
        <v>1</v>
      </c>
      <c r="K18" s="16"/>
      <c r="P18" s="827" t="s">
        <v>470</v>
      </c>
      <c r="Q18" s="827"/>
      <c r="R18" s="827"/>
      <c r="S18" s="827"/>
    </row>
    <row r="19" spans="2:19" ht="41.25" customHeight="1" x14ac:dyDescent="0.2">
      <c r="B19" s="839" t="s">
        <v>295</v>
      </c>
      <c r="C19" s="839"/>
      <c r="D19" s="323">
        <v>2</v>
      </c>
      <c r="E19" s="323">
        <v>3</v>
      </c>
      <c r="F19" s="323">
        <v>3</v>
      </c>
      <c r="G19" s="293">
        <v>0</v>
      </c>
      <c r="H19" s="324">
        <v>1</v>
      </c>
      <c r="I19" s="452">
        <v>3</v>
      </c>
      <c r="J19" s="28">
        <v>1</v>
      </c>
      <c r="K19" s="16"/>
      <c r="P19" s="828"/>
      <c r="Q19" s="829"/>
      <c r="R19" s="829"/>
      <c r="S19" s="830"/>
    </row>
    <row r="20" spans="2:19" ht="41.25" customHeight="1" x14ac:dyDescent="0.2">
      <c r="B20" s="839" t="s">
        <v>224</v>
      </c>
      <c r="C20" s="839"/>
      <c r="D20" s="323">
        <v>1</v>
      </c>
      <c r="E20" s="323">
        <v>2</v>
      </c>
      <c r="F20" s="323">
        <v>2</v>
      </c>
      <c r="G20" s="293">
        <v>1</v>
      </c>
      <c r="H20" s="324">
        <v>1</v>
      </c>
      <c r="I20" s="452">
        <v>0</v>
      </c>
      <c r="J20" s="28">
        <v>1</v>
      </c>
      <c r="K20" s="16"/>
      <c r="P20" s="831"/>
      <c r="Q20" s="832"/>
      <c r="R20" s="832"/>
      <c r="S20" s="833"/>
    </row>
    <row r="21" spans="2:19" ht="41.25" customHeight="1" x14ac:dyDescent="0.2">
      <c r="B21" s="839" t="s">
        <v>500</v>
      </c>
      <c r="C21" s="839"/>
      <c r="D21" s="323" t="s">
        <v>282</v>
      </c>
      <c r="E21" s="323">
        <v>1</v>
      </c>
      <c r="F21" s="323">
        <v>1</v>
      </c>
      <c r="G21" s="293">
        <v>1</v>
      </c>
      <c r="H21" s="324">
        <v>2</v>
      </c>
      <c r="I21" s="452">
        <v>2</v>
      </c>
      <c r="J21" s="28">
        <v>2</v>
      </c>
      <c r="K21" s="16"/>
      <c r="P21" s="831"/>
      <c r="Q21" s="832"/>
      <c r="R21" s="832"/>
      <c r="S21" s="833"/>
    </row>
    <row r="22" spans="2:19" ht="41.25" customHeight="1" x14ac:dyDescent="0.2">
      <c r="B22" s="839" t="s">
        <v>226</v>
      </c>
      <c r="C22" s="839"/>
      <c r="D22" s="323">
        <v>2</v>
      </c>
      <c r="E22" s="323">
        <v>2</v>
      </c>
      <c r="F22" s="323">
        <v>2</v>
      </c>
      <c r="G22" s="293">
        <v>3</v>
      </c>
      <c r="H22" s="324">
        <v>2</v>
      </c>
      <c r="I22" s="452">
        <v>3</v>
      </c>
      <c r="J22" s="28">
        <v>3</v>
      </c>
      <c r="K22" s="16"/>
      <c r="P22" s="831"/>
      <c r="Q22" s="832"/>
      <c r="R22" s="832"/>
      <c r="S22" s="833"/>
    </row>
    <row r="23" spans="2:19" ht="41.25" customHeight="1" x14ac:dyDescent="0.2">
      <c r="B23" s="839" t="s">
        <v>227</v>
      </c>
      <c r="C23" s="839"/>
      <c r="D23" s="323">
        <v>1</v>
      </c>
      <c r="E23" s="323">
        <v>2</v>
      </c>
      <c r="F23" s="323">
        <v>2</v>
      </c>
      <c r="G23" s="293">
        <v>1</v>
      </c>
      <c r="H23" s="324">
        <v>1</v>
      </c>
      <c r="I23" s="452">
        <v>1</v>
      </c>
      <c r="J23" s="28">
        <v>2</v>
      </c>
      <c r="K23" s="16"/>
      <c r="P23" s="831"/>
      <c r="Q23" s="832"/>
      <c r="R23" s="832"/>
      <c r="S23" s="833"/>
    </row>
    <row r="24" spans="2:19" ht="41.25" customHeight="1" x14ac:dyDescent="0.2">
      <c r="B24" s="839" t="s">
        <v>293</v>
      </c>
      <c r="C24" s="839"/>
      <c r="D24" s="323">
        <v>2</v>
      </c>
      <c r="E24" s="323">
        <v>2</v>
      </c>
      <c r="F24" s="323">
        <v>2</v>
      </c>
      <c r="G24" s="293">
        <v>2</v>
      </c>
      <c r="H24" s="324">
        <v>2</v>
      </c>
      <c r="I24" s="452">
        <v>3</v>
      </c>
      <c r="J24" s="28">
        <v>3</v>
      </c>
      <c r="K24" s="16"/>
      <c r="P24" s="831"/>
      <c r="Q24" s="832"/>
      <c r="R24" s="832"/>
      <c r="S24" s="833"/>
    </row>
    <row r="25" spans="2:19" ht="57" customHeight="1" x14ac:dyDescent="0.2">
      <c r="B25" s="839" t="s">
        <v>298</v>
      </c>
      <c r="C25" s="839"/>
      <c r="D25" s="323">
        <v>1</v>
      </c>
      <c r="E25" s="323">
        <v>1</v>
      </c>
      <c r="F25" s="323">
        <v>1</v>
      </c>
      <c r="G25" s="293">
        <v>1</v>
      </c>
      <c r="H25" s="324">
        <v>1</v>
      </c>
      <c r="I25" s="452">
        <v>1</v>
      </c>
      <c r="J25" s="28">
        <v>1</v>
      </c>
      <c r="K25" s="16"/>
      <c r="P25" s="831"/>
      <c r="Q25" s="832"/>
      <c r="R25" s="832"/>
      <c r="S25" s="833"/>
    </row>
    <row r="26" spans="2:19" ht="41.25" customHeight="1" x14ac:dyDescent="0.2">
      <c r="B26" s="839" t="s">
        <v>266</v>
      </c>
      <c r="C26" s="839"/>
      <c r="D26" s="323">
        <v>1</v>
      </c>
      <c r="E26" s="323">
        <v>1</v>
      </c>
      <c r="F26" s="323">
        <v>1</v>
      </c>
      <c r="G26" s="293">
        <v>1</v>
      </c>
      <c r="H26" s="324">
        <v>3</v>
      </c>
      <c r="I26" s="452">
        <v>4</v>
      </c>
      <c r="J26" s="28">
        <v>4</v>
      </c>
      <c r="K26" s="16"/>
      <c r="P26" s="831"/>
      <c r="Q26" s="832"/>
      <c r="R26" s="832"/>
      <c r="S26" s="833"/>
    </row>
    <row r="27" spans="2:19" ht="51.75" customHeight="1" x14ac:dyDescent="0.25">
      <c r="B27" s="841" t="s">
        <v>252</v>
      </c>
      <c r="C27" s="841"/>
      <c r="D27" s="323">
        <v>2</v>
      </c>
      <c r="E27" s="323">
        <v>2</v>
      </c>
      <c r="F27" s="323">
        <v>2</v>
      </c>
      <c r="G27" s="293">
        <v>1</v>
      </c>
      <c r="H27" s="324">
        <v>3</v>
      </c>
      <c r="I27" s="452">
        <v>2</v>
      </c>
      <c r="J27" s="28">
        <v>0</v>
      </c>
      <c r="K27" s="16"/>
      <c r="P27" s="834"/>
      <c r="Q27" s="835"/>
      <c r="R27" s="835"/>
      <c r="S27" s="836"/>
    </row>
    <row r="28" spans="2:19" ht="51.75" customHeight="1" x14ac:dyDescent="0.25">
      <c r="B28" s="843" t="s">
        <v>296</v>
      </c>
      <c r="C28" s="843"/>
      <c r="D28" s="323" t="s">
        <v>213</v>
      </c>
      <c r="E28" s="323" t="s">
        <v>213</v>
      </c>
      <c r="F28" s="323" t="s">
        <v>213</v>
      </c>
      <c r="G28" s="293" t="s">
        <v>213</v>
      </c>
      <c r="H28" s="324">
        <v>0</v>
      </c>
      <c r="I28" s="452">
        <v>1</v>
      </c>
      <c r="J28" s="28">
        <v>1</v>
      </c>
      <c r="K28" s="16"/>
    </row>
    <row r="29" spans="2:19" ht="51.75" customHeight="1" x14ac:dyDescent="0.2">
      <c r="B29" s="839" t="s">
        <v>297</v>
      </c>
      <c r="C29" s="839"/>
      <c r="D29" s="323">
        <v>1</v>
      </c>
      <c r="E29" s="323">
        <v>1</v>
      </c>
      <c r="F29" s="323">
        <v>1</v>
      </c>
      <c r="G29" s="293">
        <v>2</v>
      </c>
      <c r="H29" s="324">
        <v>1</v>
      </c>
      <c r="I29" s="452">
        <v>1</v>
      </c>
      <c r="J29" s="28">
        <v>2</v>
      </c>
      <c r="K29" s="16"/>
    </row>
    <row r="30" spans="2:19" ht="51.75" customHeight="1" x14ac:dyDescent="0.2">
      <c r="B30" s="839" t="s">
        <v>245</v>
      </c>
      <c r="C30" s="839"/>
      <c r="D30" s="323">
        <v>2</v>
      </c>
      <c r="E30" s="323">
        <v>2</v>
      </c>
      <c r="F30" s="323">
        <v>2</v>
      </c>
      <c r="G30" s="293">
        <v>2</v>
      </c>
      <c r="H30" s="324">
        <v>1</v>
      </c>
      <c r="I30" s="452">
        <v>1</v>
      </c>
      <c r="J30" s="28">
        <v>3</v>
      </c>
      <c r="K30" s="16"/>
    </row>
    <row r="31" spans="2:19" ht="48" customHeight="1" x14ac:dyDescent="0.2">
      <c r="B31" s="839" t="s">
        <v>270</v>
      </c>
      <c r="C31" s="839"/>
      <c r="D31" s="323">
        <v>4</v>
      </c>
      <c r="E31" s="323">
        <v>4</v>
      </c>
      <c r="F31" s="323">
        <v>4</v>
      </c>
      <c r="G31" s="293">
        <v>2</v>
      </c>
      <c r="H31" s="324">
        <v>2</v>
      </c>
      <c r="I31" s="452">
        <v>2</v>
      </c>
      <c r="J31" s="28">
        <v>2</v>
      </c>
      <c r="K31" s="16"/>
    </row>
    <row r="32" spans="2:19" ht="22.5" customHeight="1" x14ac:dyDescent="0.2">
      <c r="B32" s="732" t="str">
        <f>D5</f>
        <v>≥1</v>
      </c>
      <c r="C32" s="732"/>
      <c r="D32" s="326">
        <f t="shared" ref="D32:J32" si="0">COUNTIF(D14:D31,"&gt;="&amp;D34)</f>
        <v>16</v>
      </c>
      <c r="E32" s="326">
        <f t="shared" si="0"/>
        <v>17</v>
      </c>
      <c r="F32" s="326">
        <f t="shared" si="0"/>
        <v>17</v>
      </c>
      <c r="G32" s="326">
        <f t="shared" si="0"/>
        <v>16</v>
      </c>
      <c r="H32" s="326">
        <f t="shared" si="0"/>
        <v>17</v>
      </c>
      <c r="I32" s="326">
        <f t="shared" si="0"/>
        <v>17</v>
      </c>
      <c r="J32" s="326">
        <f t="shared" si="0"/>
        <v>17</v>
      </c>
      <c r="K32" s="239"/>
      <c r="L32" s="239"/>
      <c r="M32" s="239"/>
    </row>
    <row r="33" spans="2:14" ht="22.5" customHeight="1" x14ac:dyDescent="0.25">
      <c r="B33" s="732" t="s">
        <v>231</v>
      </c>
      <c r="C33" s="732"/>
      <c r="D33" s="312">
        <f t="shared" ref="D33:J33" si="1">COUNT(D14:D31)</f>
        <v>16</v>
      </c>
      <c r="E33" s="312">
        <f t="shared" si="1"/>
        <v>17</v>
      </c>
      <c r="F33" s="312">
        <f t="shared" si="1"/>
        <v>17</v>
      </c>
      <c r="G33" s="312">
        <f t="shared" si="1"/>
        <v>17</v>
      </c>
      <c r="H33" s="312">
        <f t="shared" si="1"/>
        <v>18</v>
      </c>
      <c r="I33" s="312">
        <f t="shared" si="1"/>
        <v>18</v>
      </c>
      <c r="J33" s="312">
        <f t="shared" si="1"/>
        <v>18</v>
      </c>
      <c r="K33" s="322"/>
      <c r="L33" s="322"/>
      <c r="M33" s="322"/>
      <c r="N33" s="644" t="s">
        <v>155</v>
      </c>
    </row>
    <row r="34" spans="2:14" ht="22.5" customHeight="1" x14ac:dyDescent="0.2">
      <c r="B34" s="837" t="s">
        <v>207</v>
      </c>
      <c r="C34" s="838"/>
      <c r="D34" s="194">
        <v>1</v>
      </c>
      <c r="E34" s="194">
        <v>1</v>
      </c>
      <c r="F34" s="194">
        <v>1</v>
      </c>
      <c r="G34" s="194">
        <v>1</v>
      </c>
      <c r="H34" s="194">
        <v>1</v>
      </c>
      <c r="I34" s="324">
        <v>1</v>
      </c>
      <c r="J34" s="324">
        <v>1</v>
      </c>
      <c r="K34" s="322"/>
      <c r="L34" s="322"/>
      <c r="M34" s="322"/>
      <c r="N34" s="644"/>
    </row>
    <row r="35" spans="2:14" ht="22.5" customHeight="1" x14ac:dyDescent="0.2">
      <c r="B35" s="730" t="s">
        <v>208</v>
      </c>
      <c r="C35" s="787"/>
      <c r="D35" s="54">
        <f t="shared" ref="D35:J35" si="2">D32/D33</f>
        <v>1</v>
      </c>
      <c r="E35" s="54">
        <f t="shared" si="2"/>
        <v>1</v>
      </c>
      <c r="F35" s="54">
        <f t="shared" si="2"/>
        <v>1</v>
      </c>
      <c r="G35" s="54">
        <f t="shared" si="2"/>
        <v>0.94117647058823528</v>
      </c>
      <c r="H35" s="54">
        <f t="shared" si="2"/>
        <v>0.94444444444444442</v>
      </c>
      <c r="I35" s="271">
        <f t="shared" si="2"/>
        <v>0.94444444444444442</v>
      </c>
      <c r="J35" s="271">
        <f t="shared" si="2"/>
        <v>0.94444444444444442</v>
      </c>
      <c r="K35" s="322"/>
      <c r="L35" s="322"/>
      <c r="M35" s="322"/>
    </row>
    <row r="36" spans="2:14" ht="22.5" customHeight="1" x14ac:dyDescent="0.25">
      <c r="B36" s="7"/>
      <c r="C36" s="7"/>
      <c r="D36" s="96"/>
      <c r="E36" s="96"/>
      <c r="F36" s="96"/>
      <c r="G36" s="18"/>
      <c r="H36" s="6"/>
      <c r="I36" s="6"/>
      <c r="J36" s="322"/>
      <c r="K36" s="322"/>
      <c r="L36" s="322"/>
      <c r="M36" s="322"/>
    </row>
    <row r="37" spans="2:14" ht="22.5" customHeight="1" x14ac:dyDescent="0.25">
      <c r="B37" s="7"/>
      <c r="C37" s="7"/>
      <c r="D37" s="96"/>
      <c r="E37" s="96"/>
      <c r="F37" s="96"/>
      <c r="G37" s="18"/>
      <c r="H37" s="6"/>
      <c r="I37" s="6"/>
      <c r="J37" s="322"/>
      <c r="K37" s="322"/>
      <c r="L37" s="322"/>
      <c r="M37" s="322"/>
    </row>
    <row r="38" spans="2:14" ht="22.5" customHeight="1" x14ac:dyDescent="0.25">
      <c r="B38" s="7"/>
      <c r="C38" s="7"/>
      <c r="D38" s="96"/>
      <c r="E38" s="96"/>
      <c r="F38" s="96"/>
      <c r="G38" s="18"/>
      <c r="H38" s="6"/>
      <c r="I38" s="6"/>
      <c r="J38" s="322"/>
      <c r="K38" s="322"/>
      <c r="L38" s="322"/>
      <c r="M38" s="322"/>
    </row>
    <row r="39" spans="2:14" ht="22.5" customHeight="1" x14ac:dyDescent="0.2">
      <c r="B39" s="842" t="s">
        <v>469</v>
      </c>
      <c r="C39" s="842"/>
      <c r="D39" s="842"/>
      <c r="E39" s="842"/>
      <c r="F39" s="8"/>
      <c r="J39" s="322"/>
      <c r="K39" s="322"/>
      <c r="L39" s="322"/>
      <c r="M39" s="322"/>
    </row>
    <row r="40" spans="2:14" ht="22.5" customHeight="1" x14ac:dyDescent="0.2">
      <c r="B40" s="8"/>
      <c r="C40" s="8"/>
      <c r="D40" s="8"/>
      <c r="E40" s="8"/>
      <c r="F40" s="8"/>
      <c r="J40" s="322"/>
      <c r="K40" s="322"/>
      <c r="L40" s="322"/>
      <c r="M40" s="322"/>
    </row>
    <row r="51" spans="8:10" ht="19.5" customHeight="1" x14ac:dyDescent="0.2">
      <c r="H51" s="559" t="s">
        <v>155</v>
      </c>
      <c r="I51" s="560"/>
      <c r="J51" s="560"/>
    </row>
  </sheetData>
  <sheetProtection formatCells="0" formatColumns="0" formatRows="0" insertColumns="0" insertRows="0" insertHyperlinks="0" deleteColumns="0" deleteRows="0" pivotTables="0"/>
  <mergeCells count="54">
    <mergeCell ref="B8:C8"/>
    <mergeCell ref="D8:E8"/>
    <mergeCell ref="F8:G8"/>
    <mergeCell ref="H8:J8"/>
    <mergeCell ref="D9:E9"/>
    <mergeCell ref="F9:G9"/>
    <mergeCell ref="H9:J9"/>
    <mergeCell ref="B9:C9"/>
    <mergeCell ref="B5:C5"/>
    <mergeCell ref="D5:E5"/>
    <mergeCell ref="F5:G5"/>
    <mergeCell ref="H5:J5"/>
    <mergeCell ref="B7:C7"/>
    <mergeCell ref="F7:G7"/>
    <mergeCell ref="D7:E7"/>
    <mergeCell ref="B6:C6"/>
    <mergeCell ref="D6:E6"/>
    <mergeCell ref="F6:G6"/>
    <mergeCell ref="H6:J6"/>
    <mergeCell ref="H7:J7"/>
    <mergeCell ref="B2:D2"/>
    <mergeCell ref="E2:J2"/>
    <mergeCell ref="B4:C4"/>
    <mergeCell ref="D4:E4"/>
    <mergeCell ref="F4:G4"/>
    <mergeCell ref="H4:J4"/>
    <mergeCell ref="H51:J51"/>
    <mergeCell ref="B23:C23"/>
    <mergeCell ref="B31:C31"/>
    <mergeCell ref="B30:C30"/>
    <mergeCell ref="B27:C27"/>
    <mergeCell ref="B39:E39"/>
    <mergeCell ref="B33:C33"/>
    <mergeCell ref="B28:C28"/>
    <mergeCell ref="B35:C35"/>
    <mergeCell ref="B32:C32"/>
    <mergeCell ref="B11:J11"/>
    <mergeCell ref="B16:C16"/>
    <mergeCell ref="B20:C20"/>
    <mergeCell ref="B21:C21"/>
    <mergeCell ref="B17:C17"/>
    <mergeCell ref="B14:C14"/>
    <mergeCell ref="B18:C18"/>
    <mergeCell ref="B19:C19"/>
    <mergeCell ref="B15:C15"/>
    <mergeCell ref="N33:N34"/>
    <mergeCell ref="P18:S18"/>
    <mergeCell ref="P19:S27"/>
    <mergeCell ref="B34:C34"/>
    <mergeCell ref="B22:C22"/>
    <mergeCell ref="B24:C24"/>
    <mergeCell ref="B25:C25"/>
    <mergeCell ref="B26:C26"/>
    <mergeCell ref="B29:C29"/>
  </mergeCells>
  <phoneticPr fontId="25" type="noConversion"/>
  <conditionalFormatting sqref="D14:I31">
    <cfRule type="cellIs" dxfId="42" priority="7" operator="lessThan">
      <formula>1</formula>
    </cfRule>
    <cfRule type="cellIs" dxfId="41" priority="9" operator="between">
      <formula>0</formula>
      <formula>0.9</formula>
    </cfRule>
  </conditionalFormatting>
  <conditionalFormatting sqref="I21:I24">
    <cfRule type="cellIs" dxfId="40" priority="1" operator="lessThan">
      <formula>1</formula>
    </cfRule>
  </conditionalFormatting>
  <pageMargins left="0.7" right="0.7" top="0.75" bottom="0.75" header="0" footer="0"/>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637B9-1384-4605-A04B-9820D1B547DF}">
  <sheetPr>
    <tabColor theme="9" tint="-0.499984740745262"/>
    <pageSetUpPr fitToPage="1"/>
  </sheetPr>
  <dimension ref="B2:L51"/>
  <sheetViews>
    <sheetView showGridLines="0" workbookViewId="0">
      <selection activeCell="H7" sqref="H7:J7"/>
    </sheetView>
  </sheetViews>
  <sheetFormatPr defaultColWidth="12.5703125" defaultRowHeight="15.75" customHeight="1" x14ac:dyDescent="0.2"/>
  <cols>
    <col min="1" max="1" width="3.42578125" customWidth="1"/>
    <col min="2" max="2" width="14.140625" customWidth="1"/>
    <col min="3" max="3" width="16.42578125" customWidth="1"/>
    <col min="4" max="4" width="17.28515625" customWidth="1"/>
    <col min="5" max="9" width="12.5703125" customWidth="1"/>
    <col min="10" max="10" width="12.7109375" customWidth="1"/>
    <col min="11" max="11" width="36.140625" customWidth="1"/>
    <col min="12" max="12" width="34.5703125" customWidth="1"/>
    <col min="13"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Índex!B30</f>
        <v xml:space="preserve">PC2.04_Ind02. </v>
      </c>
      <c r="E4" s="716"/>
      <c r="F4" s="567" t="s">
        <v>194</v>
      </c>
      <c r="G4" s="569"/>
      <c r="H4" s="718" t="str">
        <f>Índex!C30</f>
        <v>Taxa d’abandonament a primer curs a temps complert</v>
      </c>
      <c r="I4" s="715"/>
      <c r="J4" s="716"/>
    </row>
    <row r="5" spans="2:10" ht="22.5" customHeight="1" x14ac:dyDescent="0.2">
      <c r="B5" s="567" t="s">
        <v>195</v>
      </c>
      <c r="C5" s="569"/>
      <c r="D5" s="718" t="str">
        <f>Índex!F30</f>
        <v>≤25%</v>
      </c>
      <c r="E5" s="716"/>
      <c r="F5" s="567" t="s">
        <v>196</v>
      </c>
      <c r="G5" s="569"/>
      <c r="H5" s="718" t="s">
        <v>216</v>
      </c>
      <c r="I5" s="715"/>
      <c r="J5" s="716"/>
    </row>
    <row r="6" spans="2:10" ht="39.75" customHeight="1" x14ac:dyDescent="0.2">
      <c r="B6" s="567" t="s">
        <v>471</v>
      </c>
      <c r="C6" s="569"/>
      <c r="D6" s="718" t="str">
        <f>Índex!H30</f>
        <v>Objectiu de Qualitat. Qualitat dels programes formatius</v>
      </c>
      <c r="E6" s="716"/>
      <c r="F6" s="567" t="s">
        <v>462</v>
      </c>
      <c r="G6" s="569"/>
      <c r="H6" s="718" t="s">
        <v>652</v>
      </c>
      <c r="I6" s="715"/>
      <c r="J6" s="716"/>
    </row>
    <row r="7" spans="2:10" ht="22.5" customHeight="1" x14ac:dyDescent="0.2">
      <c r="B7" s="567" t="s">
        <v>463</v>
      </c>
      <c r="C7" s="569"/>
      <c r="D7" s="718"/>
      <c r="E7" s="716"/>
      <c r="F7" s="567" t="s">
        <v>464</v>
      </c>
      <c r="G7" s="569"/>
      <c r="H7" s="718" t="s">
        <v>198</v>
      </c>
      <c r="I7" s="715"/>
      <c r="J7" s="716"/>
    </row>
    <row r="8" spans="2:10" ht="39.75" customHeight="1" x14ac:dyDescent="0.2">
      <c r="B8" s="567" t="s">
        <v>465</v>
      </c>
      <c r="C8" s="569"/>
      <c r="D8" s="718" t="str">
        <f>Índex!D30</f>
        <v>Vicedegà d’Economia i Afers Acadèmics de Postgrau</v>
      </c>
      <c r="E8" s="716"/>
      <c r="F8" s="567" t="s">
        <v>472</v>
      </c>
      <c r="G8" s="569"/>
      <c r="H8" s="718" t="str">
        <f>Índex!E30</f>
        <v>Gestora de Qualitat</v>
      </c>
      <c r="I8" s="715"/>
      <c r="J8" s="716"/>
    </row>
    <row r="9" spans="2:10" ht="31.5" customHeight="1" x14ac:dyDescent="0.2">
      <c r="B9" s="567" t="s">
        <v>461</v>
      </c>
      <c r="C9" s="569"/>
      <c r="D9" s="718" t="str">
        <f>Índex!G30</f>
        <v>PC2.04. Seguiment  i Millora de Titulacions</v>
      </c>
      <c r="E9" s="716"/>
      <c r="F9" s="567" t="s">
        <v>467</v>
      </c>
      <c r="G9" s="569"/>
      <c r="H9" s="786" t="s">
        <v>518</v>
      </c>
      <c r="I9" s="787"/>
      <c r="J9" s="787"/>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4" t="s">
        <v>200</v>
      </c>
      <c r="E14" s="84" t="s">
        <v>201</v>
      </c>
      <c r="F14" s="84" t="s">
        <v>202</v>
      </c>
      <c r="G14" s="84" t="s">
        <v>203</v>
      </c>
      <c r="H14" s="84" t="s">
        <v>204</v>
      </c>
      <c r="I14" s="84" t="s">
        <v>205</v>
      </c>
      <c r="J14" s="84" t="s">
        <v>256</v>
      </c>
    </row>
    <row r="15" spans="2:10" ht="41.25" customHeight="1" x14ac:dyDescent="0.2">
      <c r="B15" s="739" t="s">
        <v>218</v>
      </c>
      <c r="C15" s="739"/>
      <c r="D15" s="294">
        <v>0.1</v>
      </c>
      <c r="E15" s="308">
        <v>0.16</v>
      </c>
      <c r="F15" s="308">
        <v>0.06</v>
      </c>
      <c r="G15" s="308">
        <v>0.21</v>
      </c>
      <c r="H15" s="271" t="s">
        <v>299</v>
      </c>
      <c r="I15" s="271" t="s">
        <v>234</v>
      </c>
      <c r="J15" s="271">
        <v>0.16669999999999999</v>
      </c>
    </row>
    <row r="16" spans="2:10" ht="41.25" customHeight="1" x14ac:dyDescent="0.2">
      <c r="B16" s="739" t="s">
        <v>235</v>
      </c>
      <c r="C16" s="739"/>
      <c r="D16" s="294">
        <v>0.15</v>
      </c>
      <c r="E16" s="308" t="s">
        <v>300</v>
      </c>
      <c r="F16" s="308" t="s">
        <v>213</v>
      </c>
      <c r="G16" s="308">
        <v>0.2</v>
      </c>
      <c r="H16" s="271" t="s">
        <v>301</v>
      </c>
      <c r="I16" s="271" t="s">
        <v>234</v>
      </c>
      <c r="J16" s="435">
        <v>0.3125</v>
      </c>
    </row>
    <row r="17" spans="2:12" ht="41.25" customHeight="1" x14ac:dyDescent="0.2">
      <c r="B17" s="739" t="s">
        <v>262</v>
      </c>
      <c r="C17" s="739"/>
      <c r="D17" s="294">
        <v>0.26</v>
      </c>
      <c r="E17" s="308" t="s">
        <v>302</v>
      </c>
      <c r="F17" s="308">
        <v>0.22</v>
      </c>
      <c r="G17" s="308">
        <v>0.28000000000000003</v>
      </c>
      <c r="H17" s="434" t="s">
        <v>303</v>
      </c>
      <c r="I17" s="271">
        <v>0.1628</v>
      </c>
      <c r="J17" s="271">
        <v>0.1628</v>
      </c>
    </row>
    <row r="18" spans="2:12" ht="41.25" customHeight="1" x14ac:dyDescent="0.2">
      <c r="B18" s="739" t="s">
        <v>221</v>
      </c>
      <c r="C18" s="739"/>
      <c r="D18" s="294">
        <v>0.18</v>
      </c>
      <c r="E18" s="308">
        <v>0.06</v>
      </c>
      <c r="F18" s="308">
        <v>0.15</v>
      </c>
      <c r="G18" s="308">
        <v>0.05</v>
      </c>
      <c r="H18" s="271" t="s">
        <v>301</v>
      </c>
      <c r="I18" s="271">
        <v>0.1053</v>
      </c>
      <c r="J18" s="271">
        <v>0.1154</v>
      </c>
    </row>
    <row r="19" spans="2:12" ht="41.25" customHeight="1" x14ac:dyDescent="0.2">
      <c r="B19" s="739" t="s">
        <v>294</v>
      </c>
      <c r="C19" s="739"/>
      <c r="D19" s="294" t="s">
        <v>213</v>
      </c>
      <c r="E19" s="308">
        <v>0.09</v>
      </c>
      <c r="F19" s="308">
        <v>0.05</v>
      </c>
      <c r="G19" s="308">
        <v>0.05</v>
      </c>
      <c r="H19" s="271" t="s">
        <v>304</v>
      </c>
      <c r="I19" s="271">
        <v>9.0899999999999995E-2</v>
      </c>
      <c r="J19" s="271">
        <v>0.2273</v>
      </c>
      <c r="K19" s="20"/>
    </row>
    <row r="20" spans="2:12" ht="41.25" customHeight="1" x14ac:dyDescent="0.2">
      <c r="B20" s="739" t="s">
        <v>295</v>
      </c>
      <c r="C20" s="739"/>
      <c r="D20" s="294" t="s">
        <v>213</v>
      </c>
      <c r="E20" s="308" t="s">
        <v>213</v>
      </c>
      <c r="F20" s="308" t="s">
        <v>213</v>
      </c>
      <c r="G20" s="308">
        <v>0.14000000000000001</v>
      </c>
      <c r="H20" s="271" t="s">
        <v>304</v>
      </c>
      <c r="I20" s="271">
        <v>9.5200000000000007E-2</v>
      </c>
      <c r="J20" s="271">
        <v>4.3499999999999997E-2</v>
      </c>
      <c r="K20" s="20"/>
    </row>
    <row r="21" spans="2:12" ht="41.25" customHeight="1" x14ac:dyDescent="0.2">
      <c r="B21" s="739" t="s">
        <v>224</v>
      </c>
      <c r="C21" s="739"/>
      <c r="D21" s="294">
        <v>0.33</v>
      </c>
      <c r="E21" s="308">
        <v>0.34</v>
      </c>
      <c r="F21" s="308">
        <v>0.4</v>
      </c>
      <c r="G21" s="308">
        <v>0.38</v>
      </c>
      <c r="H21" s="328" t="s">
        <v>305</v>
      </c>
      <c r="I21" s="328">
        <v>0.45</v>
      </c>
      <c r="J21" s="434">
        <v>0.23680000000000001</v>
      </c>
      <c r="K21" s="20"/>
    </row>
    <row r="22" spans="2:12" ht="41.25" customHeight="1" x14ac:dyDescent="0.2">
      <c r="B22" s="739" t="s">
        <v>225</v>
      </c>
      <c r="C22" s="739"/>
      <c r="D22" s="294" t="s">
        <v>282</v>
      </c>
      <c r="E22" s="308">
        <v>0.24</v>
      </c>
      <c r="F22" s="308">
        <v>0.12</v>
      </c>
      <c r="G22" s="308">
        <v>0.06</v>
      </c>
      <c r="H22" s="271" t="s">
        <v>307</v>
      </c>
      <c r="I22" s="271">
        <v>0.21429999999999999</v>
      </c>
      <c r="J22" s="271">
        <v>2.3300000000000001E-2</v>
      </c>
    </row>
    <row r="23" spans="2:12" ht="41.25" customHeight="1" x14ac:dyDescent="0.2">
      <c r="B23" s="739" t="s">
        <v>226</v>
      </c>
      <c r="C23" s="739"/>
      <c r="D23" s="294">
        <v>0.25</v>
      </c>
      <c r="E23" s="308">
        <v>0.12</v>
      </c>
      <c r="F23" s="308">
        <v>0.21</v>
      </c>
      <c r="G23" s="308">
        <v>0.12</v>
      </c>
      <c r="H23" s="271" t="s">
        <v>301</v>
      </c>
      <c r="I23" s="271">
        <v>0.20630000000000001</v>
      </c>
      <c r="J23" s="271">
        <v>0.1045</v>
      </c>
    </row>
    <row r="24" spans="2:12" ht="41.25" customHeight="1" x14ac:dyDescent="0.2">
      <c r="B24" s="739" t="s">
        <v>227</v>
      </c>
      <c r="C24" s="739"/>
      <c r="D24" s="294">
        <v>0.13</v>
      </c>
      <c r="E24" s="308">
        <v>0.23</v>
      </c>
      <c r="F24" s="308">
        <v>0.13</v>
      </c>
      <c r="G24" s="308">
        <v>0.18</v>
      </c>
      <c r="H24" s="271" t="s">
        <v>308</v>
      </c>
      <c r="I24" s="271">
        <v>0.18459999999999999</v>
      </c>
      <c r="J24" s="271">
        <v>0.13850000000000001</v>
      </c>
      <c r="K24" s="50"/>
    </row>
    <row r="25" spans="2:12" ht="41.25" customHeight="1" x14ac:dyDescent="0.2">
      <c r="B25" s="739" t="s">
        <v>228</v>
      </c>
      <c r="C25" s="739"/>
      <c r="D25" s="294">
        <v>0.18</v>
      </c>
      <c r="E25" s="308">
        <v>0.12</v>
      </c>
      <c r="F25" s="308">
        <v>0.21</v>
      </c>
      <c r="G25" s="308">
        <v>0.18</v>
      </c>
      <c r="H25" s="271" t="s">
        <v>309</v>
      </c>
      <c r="I25" s="271">
        <v>0.15970000000000001</v>
      </c>
      <c r="J25" s="271">
        <v>9.0899999999999995E-2</v>
      </c>
      <c r="K25" s="50"/>
      <c r="L25" s="327" t="s">
        <v>470</v>
      </c>
    </row>
    <row r="26" spans="2:12" ht="41.25" customHeight="1" x14ac:dyDescent="0.2">
      <c r="B26" s="739" t="s">
        <v>241</v>
      </c>
      <c r="C26" s="739"/>
      <c r="D26" s="294" t="s">
        <v>310</v>
      </c>
      <c r="E26" s="294">
        <v>7.0000000000000007E-2</v>
      </c>
      <c r="F26" s="308" t="s">
        <v>213</v>
      </c>
      <c r="G26" s="308">
        <v>0.04</v>
      </c>
      <c r="H26" s="271" t="s">
        <v>311</v>
      </c>
      <c r="I26" s="271">
        <v>1.9199999999999998E-2</v>
      </c>
      <c r="J26" s="271">
        <v>3.6999999999999998E-2</v>
      </c>
      <c r="K26" s="50"/>
      <c r="L26" s="844" t="s">
        <v>517</v>
      </c>
    </row>
    <row r="27" spans="2:12" ht="41.25" customHeight="1" x14ac:dyDescent="0.2">
      <c r="B27" s="739" t="s">
        <v>266</v>
      </c>
      <c r="C27" s="739"/>
      <c r="D27" s="294" t="s">
        <v>264</v>
      </c>
      <c r="E27" s="294">
        <v>0.15</v>
      </c>
      <c r="F27" s="308">
        <v>0.1</v>
      </c>
      <c r="G27" s="308">
        <v>0.06</v>
      </c>
      <c r="H27" s="271" t="s">
        <v>312</v>
      </c>
      <c r="I27" s="271">
        <v>3.85E-2</v>
      </c>
      <c r="J27" s="271">
        <v>0.15</v>
      </c>
      <c r="K27" s="50"/>
      <c r="L27" s="844"/>
    </row>
    <row r="28" spans="2:12" ht="41.25" customHeight="1" x14ac:dyDescent="0.2">
      <c r="B28" s="739" t="s">
        <v>243</v>
      </c>
      <c r="C28" s="739"/>
      <c r="D28" s="294" t="s">
        <v>264</v>
      </c>
      <c r="E28" s="294">
        <v>0.05</v>
      </c>
      <c r="F28" s="308">
        <v>0.06</v>
      </c>
      <c r="G28" s="308">
        <v>7.0000000000000007E-2</v>
      </c>
      <c r="H28" s="271" t="s">
        <v>304</v>
      </c>
      <c r="I28" s="271">
        <v>5.5599999999999997E-2</v>
      </c>
      <c r="J28" s="271">
        <v>0</v>
      </c>
      <c r="K28" s="50"/>
      <c r="L28" s="844"/>
    </row>
    <row r="29" spans="2:12" ht="41.25" customHeight="1" x14ac:dyDescent="0.2">
      <c r="B29" s="739" t="s">
        <v>244</v>
      </c>
      <c r="C29" s="739"/>
      <c r="D29" s="294" t="s">
        <v>264</v>
      </c>
      <c r="E29" s="294">
        <v>0</v>
      </c>
      <c r="F29" s="308">
        <v>0.09</v>
      </c>
      <c r="G29" s="308">
        <v>0.03</v>
      </c>
      <c r="H29" s="271" t="s">
        <v>304</v>
      </c>
      <c r="I29" s="271">
        <v>2.3800000000000002E-2</v>
      </c>
      <c r="J29" s="271">
        <v>2.2700000000000001E-2</v>
      </c>
      <c r="K29" s="50"/>
      <c r="L29" s="844"/>
    </row>
    <row r="30" spans="2:12" ht="41.25" customHeight="1" x14ac:dyDescent="0.2">
      <c r="B30" s="739" t="s">
        <v>253</v>
      </c>
      <c r="C30" s="739"/>
      <c r="D30" s="294" t="s">
        <v>264</v>
      </c>
      <c r="E30" s="294">
        <v>0.17</v>
      </c>
      <c r="F30" s="308">
        <v>0.14000000000000001</v>
      </c>
      <c r="G30" s="308">
        <v>0.09</v>
      </c>
      <c r="H30" s="271" t="s">
        <v>304</v>
      </c>
      <c r="I30" s="271">
        <v>8.3299999999999999E-2</v>
      </c>
      <c r="J30" s="271">
        <v>5.5599999999999997E-2</v>
      </c>
      <c r="K30" s="50"/>
      <c r="L30" s="844"/>
    </row>
    <row r="31" spans="2:12" ht="41.25" customHeight="1" x14ac:dyDescent="0.2">
      <c r="B31" s="739" t="s">
        <v>245</v>
      </c>
      <c r="C31" s="739"/>
      <c r="D31" s="294" t="s">
        <v>264</v>
      </c>
      <c r="E31" s="294">
        <v>0</v>
      </c>
      <c r="F31" s="308">
        <v>0</v>
      </c>
      <c r="G31" s="308">
        <v>0</v>
      </c>
      <c r="H31" s="271" t="s">
        <v>234</v>
      </c>
      <c r="I31" s="271">
        <v>0</v>
      </c>
      <c r="J31" s="271">
        <v>6.6699999999999995E-2</v>
      </c>
      <c r="K31" s="50"/>
      <c r="L31" s="844"/>
    </row>
    <row r="32" spans="2:12" ht="30" customHeight="1" x14ac:dyDescent="0.2">
      <c r="B32" s="739" t="s">
        <v>246</v>
      </c>
      <c r="C32" s="739"/>
      <c r="D32" s="294" t="s">
        <v>264</v>
      </c>
      <c r="E32" s="294">
        <v>0.02</v>
      </c>
      <c r="F32" s="308">
        <v>0.03</v>
      </c>
      <c r="G32" s="308">
        <v>0.05</v>
      </c>
      <c r="H32" s="271" t="s">
        <v>313</v>
      </c>
      <c r="I32" s="271">
        <v>5.1299999999999998E-2</v>
      </c>
      <c r="J32" s="271">
        <v>2.3300000000000001E-2</v>
      </c>
      <c r="K32" s="50"/>
      <c r="L32" s="844"/>
    </row>
    <row r="33" spans="2:12" ht="66.75" customHeight="1" x14ac:dyDescent="0.25">
      <c r="B33" s="732" t="str">
        <f>D5</f>
        <v>≤25%</v>
      </c>
      <c r="C33" s="732"/>
      <c r="D33" s="48">
        <f>COUNTIF(D15:D32,"&lt;="&amp;D35)</f>
        <v>6</v>
      </c>
      <c r="E33" s="48">
        <f>COUNTIF(E15:E32,"&lt;="&amp;E35)</f>
        <v>14</v>
      </c>
      <c r="F33" s="48">
        <f>COUNTIF(F15:F32,"&lt;="&amp;F35)</f>
        <v>14</v>
      </c>
      <c r="G33" s="48">
        <f>COUNTIF(G15:G32,"&lt;="&amp;G35)</f>
        <v>16</v>
      </c>
      <c r="H33" s="48">
        <v>16</v>
      </c>
      <c r="I33" s="48">
        <v>16</v>
      </c>
      <c r="J33" s="48">
        <v>16</v>
      </c>
      <c r="K33" s="50"/>
      <c r="L33" s="844"/>
    </row>
    <row r="34" spans="2:12" ht="22.5" customHeight="1" x14ac:dyDescent="0.25">
      <c r="B34" s="775" t="s">
        <v>248</v>
      </c>
      <c r="C34" s="775"/>
      <c r="D34" s="48">
        <f>COUNT(D15:D32)</f>
        <v>8</v>
      </c>
      <c r="E34" s="48">
        <f>COUNT(E15:E32)</f>
        <v>15</v>
      </c>
      <c r="F34" s="48">
        <f>COUNT(F15:F32)</f>
        <v>15</v>
      </c>
      <c r="G34" s="48">
        <f>COUNT(G15:G32)</f>
        <v>18</v>
      </c>
      <c r="H34" s="48">
        <v>17</v>
      </c>
      <c r="I34" s="48">
        <v>17</v>
      </c>
      <c r="J34" s="48">
        <v>17</v>
      </c>
      <c r="K34" s="50"/>
      <c r="L34" s="844"/>
    </row>
    <row r="35" spans="2:12" ht="22.5" customHeight="1" x14ac:dyDescent="0.2">
      <c r="B35" s="730" t="s">
        <v>207</v>
      </c>
      <c r="C35" s="787"/>
      <c r="D35" s="54">
        <v>0.25</v>
      </c>
      <c r="E35" s="54">
        <v>0.25</v>
      </c>
      <c r="F35" s="54">
        <v>0.25</v>
      </c>
      <c r="G35" s="54">
        <v>0.25</v>
      </c>
      <c r="H35" s="54">
        <v>0.25</v>
      </c>
      <c r="I35" s="54">
        <v>0.25</v>
      </c>
      <c r="J35" s="54">
        <v>0.25</v>
      </c>
      <c r="K35" s="50"/>
      <c r="L35" s="844"/>
    </row>
    <row r="36" spans="2:12" ht="22.5" customHeight="1" x14ac:dyDescent="0.2">
      <c r="B36" s="730" t="s">
        <v>208</v>
      </c>
      <c r="C36" s="787"/>
      <c r="D36" s="54">
        <f t="shared" ref="D36:J36" si="0">D33/D34</f>
        <v>0.75</v>
      </c>
      <c r="E36" s="54">
        <f t="shared" si="0"/>
        <v>0.93333333333333335</v>
      </c>
      <c r="F36" s="54">
        <f t="shared" si="0"/>
        <v>0.93333333333333335</v>
      </c>
      <c r="G36" s="54">
        <f t="shared" si="0"/>
        <v>0.88888888888888884</v>
      </c>
      <c r="H36" s="54">
        <f>H33/H34</f>
        <v>0.94117647058823528</v>
      </c>
      <c r="I36" s="54">
        <f t="shared" si="0"/>
        <v>0.94117647058823528</v>
      </c>
      <c r="J36" s="54">
        <f t="shared" si="0"/>
        <v>0.94117647058823528</v>
      </c>
      <c r="K36" s="50"/>
      <c r="L36" s="844"/>
    </row>
    <row r="37" spans="2:12" ht="22.5" customHeight="1" x14ac:dyDescent="0.25">
      <c r="B37" s="7"/>
      <c r="C37" s="7"/>
      <c r="D37" s="6"/>
      <c r="E37" s="6"/>
      <c r="F37" s="6"/>
      <c r="G37" s="6"/>
      <c r="H37" s="6"/>
      <c r="I37" s="6"/>
      <c r="K37" s="50"/>
    </row>
    <row r="38" spans="2:12" ht="22.5" customHeight="1" x14ac:dyDescent="0.2">
      <c r="B38" s="567" t="s">
        <v>469</v>
      </c>
      <c r="C38" s="568"/>
      <c r="D38" s="568"/>
      <c r="E38" s="569"/>
      <c r="F38" s="8"/>
      <c r="K38" s="50"/>
    </row>
    <row r="39" spans="2:12" ht="22.5" customHeight="1" x14ac:dyDescent="0.2">
      <c r="B39" s="127"/>
      <c r="C39" s="12"/>
      <c r="D39" s="12"/>
      <c r="E39" s="12"/>
      <c r="F39" s="8"/>
      <c r="K39" s="50"/>
    </row>
    <row r="40" spans="2:12" ht="22.5" customHeight="1" x14ac:dyDescent="0.2">
      <c r="B40" s="8"/>
      <c r="C40" s="8"/>
      <c r="D40" s="8"/>
      <c r="E40" s="8"/>
      <c r="F40" s="8"/>
      <c r="K40" s="50"/>
    </row>
    <row r="41" spans="2:12" ht="6" customHeight="1" x14ac:dyDescent="0.2">
      <c r="B41" s="8"/>
      <c r="C41" s="8"/>
      <c r="D41" s="8"/>
      <c r="E41" s="8"/>
      <c r="F41" s="8"/>
      <c r="K41" s="50"/>
    </row>
    <row r="42" spans="2:12" ht="19.5" customHeight="1" x14ac:dyDescent="0.2">
      <c r="B42" s="8"/>
      <c r="C42" s="8"/>
      <c r="D42" s="8"/>
      <c r="E42" s="8"/>
      <c r="F42" s="8"/>
      <c r="K42" s="50"/>
    </row>
    <row r="43" spans="2:12" ht="19.5" customHeight="1" x14ac:dyDescent="0.2">
      <c r="B43" s="8"/>
      <c r="C43" s="8"/>
      <c r="D43" s="8"/>
      <c r="E43" s="8"/>
      <c r="F43" s="8"/>
    </row>
    <row r="44" spans="2:12" ht="19.5" customHeight="1" x14ac:dyDescent="0.2">
      <c r="B44" s="8"/>
      <c r="C44" s="8"/>
      <c r="D44" s="8"/>
      <c r="E44" s="8"/>
      <c r="F44" s="8"/>
    </row>
    <row r="45" spans="2:12" ht="19.5" customHeight="1" x14ac:dyDescent="0.2">
      <c r="B45" s="8"/>
      <c r="C45" s="8"/>
      <c r="D45" s="8"/>
      <c r="E45" s="8"/>
      <c r="F45" s="8"/>
    </row>
    <row r="46" spans="2:12" ht="19.5" customHeight="1" x14ac:dyDescent="0.2">
      <c r="B46" s="8"/>
      <c r="C46" s="8"/>
      <c r="D46" s="8"/>
      <c r="E46" s="8"/>
      <c r="F46" s="8"/>
    </row>
    <row r="47" spans="2:12" ht="19.5" customHeight="1" x14ac:dyDescent="0.2">
      <c r="B47" s="8"/>
      <c r="C47" s="8"/>
      <c r="D47" s="8"/>
      <c r="E47" s="8"/>
      <c r="F47" s="8"/>
    </row>
    <row r="48" spans="2:12" ht="19.5" customHeight="1" x14ac:dyDescent="0.2">
      <c r="B48" s="8"/>
      <c r="C48" s="8"/>
      <c r="D48" s="8"/>
      <c r="E48" s="8"/>
      <c r="F48" s="8"/>
    </row>
    <row r="49" spans="2:10" ht="19.5" customHeight="1" x14ac:dyDescent="0.2">
      <c r="B49" s="8"/>
      <c r="C49" s="8"/>
      <c r="D49" s="8"/>
      <c r="E49" s="8"/>
      <c r="F49" s="8"/>
    </row>
    <row r="50" spans="2:10" ht="19.5" customHeight="1" x14ac:dyDescent="0.2"/>
    <row r="51" spans="2:10" ht="19.5" customHeight="1" x14ac:dyDescent="0.2">
      <c r="H51" s="559" t="s">
        <v>155</v>
      </c>
      <c r="I51" s="560"/>
      <c r="J51" s="560"/>
    </row>
  </sheetData>
  <sheetProtection formatCells="0" formatColumns="0" formatRows="0" insertColumns="0" insertRows="0" insertHyperlinks="0" deleteColumns="0" deleteRows="0" pivotTables="0"/>
  <mergeCells count="52">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 ref="H51:J51"/>
    <mergeCell ref="B36:C36"/>
    <mergeCell ref="B38:E38"/>
    <mergeCell ref="B23:C23"/>
    <mergeCell ref="B30:C30"/>
    <mergeCell ref="B31:C31"/>
    <mergeCell ref="B24:C24"/>
    <mergeCell ref="B25:C25"/>
    <mergeCell ref="B32:C32"/>
    <mergeCell ref="B27:C27"/>
    <mergeCell ref="B28:C28"/>
    <mergeCell ref="B26:C26"/>
    <mergeCell ref="B33:C33"/>
    <mergeCell ref="B34:C34"/>
    <mergeCell ref="B35:C35"/>
    <mergeCell ref="B29:C29"/>
    <mergeCell ref="L26:L36"/>
    <mergeCell ref="B11:J11"/>
    <mergeCell ref="B15:C15"/>
    <mergeCell ref="B17:C17"/>
    <mergeCell ref="B21:C21"/>
    <mergeCell ref="B22:C22"/>
    <mergeCell ref="B16:C16"/>
    <mergeCell ref="B18:C18"/>
    <mergeCell ref="B19:C19"/>
    <mergeCell ref="B20:C20"/>
    <mergeCell ref="B9:C9"/>
    <mergeCell ref="B8:C8"/>
    <mergeCell ref="D8:E8"/>
    <mergeCell ref="F8:G8"/>
    <mergeCell ref="H8:J8"/>
    <mergeCell ref="D9:E9"/>
    <mergeCell ref="F9:G9"/>
    <mergeCell ref="H9:J9"/>
  </mergeCells>
  <phoneticPr fontId="25" type="noConversion"/>
  <conditionalFormatting sqref="D15:G15 D16:E16 G16 D17:G18 E19:G19 G20 D21:G21 E22:G22 D23:G25 E26 G26 E27:G32">
    <cfRule type="cellIs" dxfId="39" priority="2" operator="greaterThan">
      <formula>0.25</formula>
    </cfRule>
  </conditionalFormatting>
  <pageMargins left="0.7" right="0.7" top="0.75" bottom="0.75" header="0" footer="0"/>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35A96-0A0D-4ECC-8DC0-164F978DBBF3}">
  <sheetPr>
    <tabColor theme="9" tint="-0.499984740745262"/>
    <pageSetUpPr fitToPage="1"/>
  </sheetPr>
  <dimension ref="B2:L50"/>
  <sheetViews>
    <sheetView showGridLines="0" zoomScale="90" zoomScaleNormal="90" workbookViewId="0">
      <selection activeCell="K13" sqref="K13"/>
    </sheetView>
  </sheetViews>
  <sheetFormatPr defaultColWidth="12.5703125" defaultRowHeight="15.75" customHeight="1" x14ac:dyDescent="0.2"/>
  <cols>
    <col min="1" max="1" width="3.42578125" customWidth="1"/>
    <col min="2" max="2" width="14.140625" customWidth="1"/>
    <col min="3" max="3" width="17.85546875" customWidth="1"/>
    <col min="4" max="4" width="15" customWidth="1"/>
    <col min="5" max="5" width="21.5703125" customWidth="1"/>
    <col min="6" max="6" width="14.140625" customWidth="1"/>
    <col min="7" max="7" width="13.7109375" customWidth="1"/>
    <col min="8" max="8" width="14.28515625" customWidth="1"/>
    <col min="9" max="9" width="13.7109375" customWidth="1"/>
    <col min="10" max="10" width="16.140625" customWidth="1"/>
    <col min="11" max="11" width="29.28515625" customWidth="1"/>
    <col min="12" max="12" width="24.28515625" customWidth="1"/>
    <col min="13"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Índex!B31</f>
        <v xml:space="preserve">PC2.04_Ind03. </v>
      </c>
      <c r="E4" s="716"/>
      <c r="F4" s="567" t="s">
        <v>194</v>
      </c>
      <c r="G4" s="569"/>
      <c r="H4" s="718" t="str">
        <f>Índex!C31</f>
        <v>Taxa d’eficiència per titulació</v>
      </c>
      <c r="I4" s="715"/>
      <c r="J4" s="716"/>
    </row>
    <row r="5" spans="2:10" ht="22.5" customHeight="1" x14ac:dyDescent="0.2">
      <c r="B5" s="567" t="s">
        <v>195</v>
      </c>
      <c r="C5" s="569"/>
      <c r="D5" s="848">
        <f>Índex!F31</f>
        <v>0.75</v>
      </c>
      <c r="E5" s="849"/>
      <c r="F5" s="567" t="s">
        <v>196</v>
      </c>
      <c r="G5" s="569"/>
      <c r="H5" s="718" t="s">
        <v>216</v>
      </c>
      <c r="I5" s="715"/>
      <c r="J5" s="716"/>
    </row>
    <row r="6" spans="2:10" ht="36.75" customHeight="1" x14ac:dyDescent="0.2">
      <c r="B6" s="567" t="s">
        <v>471</v>
      </c>
      <c r="C6" s="569"/>
      <c r="D6" s="718" t="str">
        <f>Índex!H31</f>
        <v>Objectiu de Qualitat. Qualitat dels programes formatius</v>
      </c>
      <c r="E6" s="716"/>
      <c r="F6" s="567" t="s">
        <v>462</v>
      </c>
      <c r="G6" s="569"/>
      <c r="H6" s="718" t="s">
        <v>653</v>
      </c>
      <c r="I6" s="715"/>
      <c r="J6" s="716"/>
    </row>
    <row r="7" spans="2:10" ht="90.75" customHeight="1" x14ac:dyDescent="0.2">
      <c r="B7" s="567" t="s">
        <v>463</v>
      </c>
      <c r="C7" s="569"/>
      <c r="D7" s="718" t="s">
        <v>654</v>
      </c>
      <c r="E7" s="716"/>
      <c r="F7" s="567" t="s">
        <v>464</v>
      </c>
      <c r="G7" s="569"/>
      <c r="H7" s="718" t="s">
        <v>198</v>
      </c>
      <c r="I7" s="715"/>
      <c r="J7" s="716"/>
    </row>
    <row r="8" spans="2:10" ht="33" customHeight="1" x14ac:dyDescent="0.2">
      <c r="B8" s="567" t="s">
        <v>465</v>
      </c>
      <c r="C8" s="569"/>
      <c r="D8" s="718" t="str">
        <f>Índex!D31</f>
        <v>Vicedegà d’Economia i Afers Acadèmics de Postgrau</v>
      </c>
      <c r="E8" s="716"/>
      <c r="F8" s="567" t="s">
        <v>472</v>
      </c>
      <c r="G8" s="569"/>
      <c r="H8" s="718" t="str">
        <f>Índex!E31</f>
        <v>Gestora de Qualitat</v>
      </c>
      <c r="I8" s="715"/>
      <c r="J8" s="716"/>
    </row>
    <row r="9" spans="2:10" ht="56.25" customHeight="1" x14ac:dyDescent="0.2">
      <c r="B9" s="567" t="s">
        <v>461</v>
      </c>
      <c r="C9" s="569"/>
      <c r="D9" s="718" t="str">
        <f>Índex!G31</f>
        <v>PC2.04. Seguiment  i Millora de Titulacions</v>
      </c>
      <c r="E9" s="716"/>
      <c r="F9" s="567" t="s">
        <v>467</v>
      </c>
      <c r="G9" s="569"/>
      <c r="H9" s="718" t="s">
        <v>507</v>
      </c>
      <c r="I9" s="715"/>
      <c r="J9" s="716"/>
    </row>
    <row r="10" spans="2:10" ht="7.5" customHeight="1" x14ac:dyDescent="0.2"/>
    <row r="11" spans="2:10" ht="22.5" customHeight="1" x14ac:dyDescent="0.2">
      <c r="B11" s="846"/>
      <c r="C11" s="847"/>
      <c r="D11" s="847"/>
      <c r="E11" s="847"/>
      <c r="F11" s="847"/>
      <c r="G11" s="847"/>
      <c r="H11" s="847"/>
      <c r="I11" s="847"/>
      <c r="J11" s="847"/>
    </row>
    <row r="12" spans="2:10" ht="22.5" customHeight="1" x14ac:dyDescent="0.2">
      <c r="B12" s="567" t="s">
        <v>468</v>
      </c>
      <c r="C12" s="568"/>
      <c r="D12" s="568"/>
      <c r="E12" s="568"/>
      <c r="F12" s="568"/>
      <c r="G12" s="568"/>
      <c r="H12" s="568"/>
      <c r="I12" s="568"/>
      <c r="J12" s="569"/>
    </row>
    <row r="13" spans="2:10" ht="22.5" customHeight="1" x14ac:dyDescent="0.2"/>
    <row r="14" spans="2:10" ht="42.75" customHeight="1" x14ac:dyDescent="0.2">
      <c r="B14" s="14"/>
      <c r="C14" s="14"/>
      <c r="D14" s="86" t="s">
        <v>200</v>
      </c>
      <c r="E14" s="86" t="s">
        <v>201</v>
      </c>
      <c r="F14" s="86" t="s">
        <v>202</v>
      </c>
      <c r="G14" s="86" t="s">
        <v>203</v>
      </c>
      <c r="H14" s="86" t="s">
        <v>204</v>
      </c>
      <c r="I14" s="86" t="s">
        <v>205</v>
      </c>
      <c r="J14" s="86" t="s">
        <v>256</v>
      </c>
    </row>
    <row r="15" spans="2:10" ht="41.25" customHeight="1" x14ac:dyDescent="0.2">
      <c r="B15" s="739" t="s">
        <v>218</v>
      </c>
      <c r="C15" s="739"/>
      <c r="D15" s="329">
        <v>0.95</v>
      </c>
      <c r="E15" s="329">
        <v>0.93</v>
      </c>
      <c r="F15" s="329">
        <v>0.97</v>
      </c>
      <c r="G15" s="329">
        <v>0.93</v>
      </c>
      <c r="H15" s="329">
        <v>0.92</v>
      </c>
      <c r="I15" s="329">
        <v>0.94</v>
      </c>
      <c r="J15" s="329">
        <v>0.92</v>
      </c>
    </row>
    <row r="16" spans="2:10" ht="41.25" customHeight="1" x14ac:dyDescent="0.2">
      <c r="B16" s="739" t="s">
        <v>235</v>
      </c>
      <c r="C16" s="739"/>
      <c r="D16" s="329">
        <v>0.99</v>
      </c>
      <c r="E16" s="329">
        <v>0.95</v>
      </c>
      <c r="F16" s="329">
        <v>0.96</v>
      </c>
      <c r="G16" s="329">
        <v>0.94</v>
      </c>
      <c r="H16" s="329">
        <v>0.95</v>
      </c>
      <c r="I16" s="329">
        <v>0.79</v>
      </c>
      <c r="J16" s="329">
        <v>0.97</v>
      </c>
    </row>
    <row r="17" spans="2:12" ht="41.25" customHeight="1" x14ac:dyDescent="0.2">
      <c r="B17" s="739" t="s">
        <v>262</v>
      </c>
      <c r="C17" s="739"/>
      <c r="D17" s="329">
        <v>0.98</v>
      </c>
      <c r="E17" s="329">
        <v>0.85</v>
      </c>
      <c r="F17" s="329">
        <v>0.89</v>
      </c>
      <c r="G17" s="329">
        <v>0.84</v>
      </c>
      <c r="H17" s="329">
        <v>0.71</v>
      </c>
      <c r="I17" s="329">
        <v>0.96</v>
      </c>
      <c r="J17" s="329">
        <v>0.94</v>
      </c>
    </row>
    <row r="18" spans="2:12" ht="41.25" customHeight="1" x14ac:dyDescent="0.2">
      <c r="B18" s="739" t="s">
        <v>221</v>
      </c>
      <c r="C18" s="739"/>
      <c r="D18" s="329">
        <v>0.91</v>
      </c>
      <c r="E18" s="329">
        <v>0.91</v>
      </c>
      <c r="F18" s="329">
        <v>0.89</v>
      </c>
      <c r="G18" s="329">
        <v>0.87</v>
      </c>
      <c r="H18" s="329">
        <v>0.9</v>
      </c>
      <c r="I18" s="329">
        <v>0.91</v>
      </c>
      <c r="J18" s="329">
        <v>0.94</v>
      </c>
    </row>
    <row r="19" spans="2:12" ht="41.25" customHeight="1" x14ac:dyDescent="0.2">
      <c r="B19" s="739" t="s">
        <v>294</v>
      </c>
      <c r="C19" s="739"/>
      <c r="D19" s="329">
        <v>1</v>
      </c>
      <c r="E19" s="329">
        <v>0.99</v>
      </c>
      <c r="F19" s="329">
        <v>0.99</v>
      </c>
      <c r="G19" s="329">
        <v>0.99</v>
      </c>
      <c r="H19" s="329">
        <v>0.98</v>
      </c>
      <c r="I19" s="329">
        <v>0.98</v>
      </c>
      <c r="J19" s="329">
        <v>0.99</v>
      </c>
      <c r="K19" s="20"/>
    </row>
    <row r="20" spans="2:12" ht="41.25" customHeight="1" x14ac:dyDescent="0.2">
      <c r="B20" s="739" t="s">
        <v>295</v>
      </c>
      <c r="C20" s="739"/>
      <c r="D20" s="329" t="s">
        <v>264</v>
      </c>
      <c r="E20" s="329">
        <v>0.95</v>
      </c>
      <c r="F20" s="329">
        <v>0.97</v>
      </c>
      <c r="G20" s="329">
        <v>0.95</v>
      </c>
      <c r="H20" s="329" t="s">
        <v>213</v>
      </c>
      <c r="I20" s="329" t="s">
        <v>213</v>
      </c>
      <c r="J20" s="329">
        <v>0.99</v>
      </c>
      <c r="K20" s="20"/>
    </row>
    <row r="21" spans="2:12" ht="41.25" customHeight="1" x14ac:dyDescent="0.2">
      <c r="B21" s="739" t="s">
        <v>224</v>
      </c>
      <c r="C21" s="739"/>
      <c r="D21" s="329">
        <v>0.88</v>
      </c>
      <c r="E21" s="329">
        <v>0.86</v>
      </c>
      <c r="F21" s="329">
        <v>0.87</v>
      </c>
      <c r="G21" s="329">
        <v>0.84</v>
      </c>
      <c r="H21" s="329">
        <v>0.81</v>
      </c>
      <c r="I21" s="329">
        <v>0.87</v>
      </c>
      <c r="J21" s="329">
        <v>0.83</v>
      </c>
      <c r="K21" s="20"/>
    </row>
    <row r="22" spans="2:12" ht="41.25" customHeight="1" x14ac:dyDescent="0.2">
      <c r="B22" s="813" t="s">
        <v>225</v>
      </c>
      <c r="C22" s="814"/>
      <c r="D22" s="329" t="s">
        <v>213</v>
      </c>
      <c r="E22" s="329" t="s">
        <v>213</v>
      </c>
      <c r="F22" s="329" t="s">
        <v>213</v>
      </c>
      <c r="G22" s="329" t="s">
        <v>213</v>
      </c>
      <c r="H22" s="329">
        <v>0.99</v>
      </c>
      <c r="I22" s="329">
        <v>0.96</v>
      </c>
      <c r="J22" s="329">
        <v>0.96</v>
      </c>
      <c r="K22" s="20"/>
    </row>
    <row r="23" spans="2:12" ht="41.25" customHeight="1" x14ac:dyDescent="0.2">
      <c r="B23" s="739" t="s">
        <v>226</v>
      </c>
      <c r="C23" s="739"/>
      <c r="D23" s="329">
        <v>0.81</v>
      </c>
      <c r="E23" s="329">
        <v>0.84</v>
      </c>
      <c r="F23" s="329">
        <v>0.84</v>
      </c>
      <c r="G23" s="329">
        <v>0.83</v>
      </c>
      <c r="H23" s="329">
        <v>0.84</v>
      </c>
      <c r="I23" s="329">
        <v>0.89</v>
      </c>
      <c r="J23" s="329">
        <v>0.85</v>
      </c>
    </row>
    <row r="24" spans="2:12" ht="41.25" customHeight="1" x14ac:dyDescent="0.2">
      <c r="B24" s="739" t="s">
        <v>227</v>
      </c>
      <c r="C24" s="739"/>
      <c r="D24" s="329">
        <v>0.94</v>
      </c>
      <c r="E24" s="329">
        <v>0.93</v>
      </c>
      <c r="F24" s="329">
        <v>0.93</v>
      </c>
      <c r="G24" s="329">
        <v>0.92</v>
      </c>
      <c r="H24" s="329">
        <v>0.92</v>
      </c>
      <c r="I24" s="329">
        <v>0.93</v>
      </c>
      <c r="J24" s="329">
        <v>0.9</v>
      </c>
      <c r="K24" s="50"/>
    </row>
    <row r="25" spans="2:12" ht="41.25" customHeight="1" x14ac:dyDescent="0.2">
      <c r="B25" s="739" t="s">
        <v>228</v>
      </c>
      <c r="C25" s="739"/>
      <c r="D25" s="329">
        <v>0.91</v>
      </c>
      <c r="E25" s="329">
        <v>0.87</v>
      </c>
      <c r="F25" s="329">
        <v>0.88</v>
      </c>
      <c r="G25" s="329">
        <v>0.87</v>
      </c>
      <c r="H25" s="329">
        <v>0.86</v>
      </c>
      <c r="I25" s="329">
        <v>0.71</v>
      </c>
      <c r="J25" s="329">
        <v>0.87</v>
      </c>
      <c r="K25" s="50"/>
    </row>
    <row r="26" spans="2:12" ht="41.25" customHeight="1" x14ac:dyDescent="0.2">
      <c r="B26" s="739" t="s">
        <v>241</v>
      </c>
      <c r="C26" s="739"/>
      <c r="D26" s="329">
        <v>0.99</v>
      </c>
      <c r="E26" s="329">
        <v>1</v>
      </c>
      <c r="F26" s="329">
        <v>0.98</v>
      </c>
      <c r="G26" s="329">
        <v>1</v>
      </c>
      <c r="H26" s="329">
        <v>1</v>
      </c>
      <c r="I26" s="329">
        <v>1</v>
      </c>
      <c r="J26" s="329">
        <v>0.99</v>
      </c>
      <c r="K26" s="50"/>
    </row>
    <row r="27" spans="2:12" ht="41.25" customHeight="1" x14ac:dyDescent="0.2">
      <c r="B27" s="739" t="s">
        <v>266</v>
      </c>
      <c r="C27" s="739"/>
      <c r="D27" s="329">
        <v>1</v>
      </c>
      <c r="E27" s="329">
        <v>0.96</v>
      </c>
      <c r="F27" s="329">
        <v>0.98</v>
      </c>
      <c r="G27" s="329">
        <v>1</v>
      </c>
      <c r="H27" s="329">
        <v>1</v>
      </c>
      <c r="I27" s="329">
        <v>1</v>
      </c>
      <c r="J27" s="329">
        <v>0.99</v>
      </c>
      <c r="K27" s="50"/>
      <c r="L27" s="327" t="s">
        <v>470</v>
      </c>
    </row>
    <row r="28" spans="2:12" ht="41.25" customHeight="1" x14ac:dyDescent="0.2">
      <c r="B28" s="739" t="s">
        <v>243</v>
      </c>
      <c r="C28" s="739"/>
      <c r="D28" s="329">
        <v>1</v>
      </c>
      <c r="E28" s="329">
        <v>1</v>
      </c>
      <c r="F28" s="329">
        <v>0.97</v>
      </c>
      <c r="G28" s="329">
        <v>0.97</v>
      </c>
      <c r="H28" s="329">
        <v>0.98</v>
      </c>
      <c r="I28" s="329">
        <v>1</v>
      </c>
      <c r="J28" s="329">
        <v>0.99</v>
      </c>
      <c r="K28" s="50"/>
      <c r="L28" s="845" t="s">
        <v>506</v>
      </c>
    </row>
    <row r="29" spans="2:12" ht="41.25" customHeight="1" x14ac:dyDescent="0.2">
      <c r="B29" s="739" t="s">
        <v>244</v>
      </c>
      <c r="C29" s="739"/>
      <c r="D29" s="329">
        <v>0.96</v>
      </c>
      <c r="E29" s="329">
        <v>0.98</v>
      </c>
      <c r="F29" s="329">
        <v>0.99</v>
      </c>
      <c r="G29" s="329">
        <v>0.99</v>
      </c>
      <c r="H29" s="329">
        <v>0.98</v>
      </c>
      <c r="I29" s="329">
        <v>1</v>
      </c>
      <c r="J29" s="329">
        <v>0.97</v>
      </c>
      <c r="K29" s="50"/>
      <c r="L29" s="845"/>
    </row>
    <row r="30" spans="2:12" ht="41.25" customHeight="1" x14ac:dyDescent="0.2">
      <c r="B30" s="739" t="s">
        <v>253</v>
      </c>
      <c r="C30" s="739"/>
      <c r="D30" s="329">
        <v>0.93</v>
      </c>
      <c r="E30" s="329">
        <v>0.98</v>
      </c>
      <c r="F30" s="329">
        <v>0.98</v>
      </c>
      <c r="G30" s="329">
        <v>0.98</v>
      </c>
      <c r="H30" s="329">
        <v>1</v>
      </c>
      <c r="I30" s="329">
        <v>1</v>
      </c>
      <c r="J30" s="329">
        <v>1</v>
      </c>
      <c r="K30" s="50"/>
      <c r="L30" s="845"/>
    </row>
    <row r="31" spans="2:12" ht="41.25" customHeight="1" x14ac:dyDescent="0.2">
      <c r="B31" s="739" t="s">
        <v>245</v>
      </c>
      <c r="C31" s="739"/>
      <c r="D31" s="329">
        <v>1</v>
      </c>
      <c r="E31" s="329">
        <v>1</v>
      </c>
      <c r="F31" s="329">
        <v>1</v>
      </c>
      <c r="G31" s="329">
        <v>0.96</v>
      </c>
      <c r="H31" s="329" t="s">
        <v>213</v>
      </c>
      <c r="I31" s="329">
        <v>1</v>
      </c>
      <c r="J31" s="329">
        <v>1</v>
      </c>
      <c r="K31" s="50"/>
    </row>
    <row r="32" spans="2:12" ht="43.5" customHeight="1" x14ac:dyDescent="0.2">
      <c r="B32" s="739" t="s">
        <v>246</v>
      </c>
      <c r="C32" s="739"/>
      <c r="D32" s="329">
        <v>1</v>
      </c>
      <c r="E32" s="329">
        <v>1</v>
      </c>
      <c r="F32" s="329">
        <v>0.98</v>
      </c>
      <c r="G32" s="329">
        <v>0.98</v>
      </c>
      <c r="H32" s="329">
        <v>0.97</v>
      </c>
      <c r="I32" s="329">
        <v>1</v>
      </c>
      <c r="J32" s="329">
        <v>1</v>
      </c>
      <c r="K32" s="50"/>
    </row>
    <row r="33" spans="2:11" ht="22.5" customHeight="1" x14ac:dyDescent="0.25">
      <c r="B33" s="732">
        <f>D5</f>
        <v>0.75</v>
      </c>
      <c r="C33" s="732"/>
      <c r="D33" s="48">
        <f t="shared" ref="D33:I33" si="0">COUNTIF(D15:D32,"&gt;="&amp;D35)</f>
        <v>16</v>
      </c>
      <c r="E33" s="48">
        <f t="shared" si="0"/>
        <v>17</v>
      </c>
      <c r="F33" s="48">
        <f t="shared" si="0"/>
        <v>17</v>
      </c>
      <c r="G33" s="48">
        <f t="shared" si="0"/>
        <v>17</v>
      </c>
      <c r="H33" s="48">
        <f t="shared" si="0"/>
        <v>15</v>
      </c>
      <c r="I33" s="48">
        <f t="shared" si="0"/>
        <v>16</v>
      </c>
      <c r="J33" s="48">
        <f>COUNTIF(J15:J32,"&gt;="&amp;J35)</f>
        <v>18</v>
      </c>
      <c r="K33" s="50"/>
    </row>
    <row r="34" spans="2:11" ht="30.75" customHeight="1" x14ac:dyDescent="0.25">
      <c r="B34" s="734" t="s">
        <v>248</v>
      </c>
      <c r="C34" s="734"/>
      <c r="D34" s="48">
        <f t="shared" ref="D34:I34" si="1">COUNT(D15:D32)</f>
        <v>16</v>
      </c>
      <c r="E34" s="48">
        <f t="shared" si="1"/>
        <v>17</v>
      </c>
      <c r="F34" s="48">
        <f t="shared" si="1"/>
        <v>17</v>
      </c>
      <c r="G34" s="48">
        <f t="shared" si="1"/>
        <v>17</v>
      </c>
      <c r="H34" s="48">
        <f t="shared" si="1"/>
        <v>16</v>
      </c>
      <c r="I34" s="48">
        <f t="shared" si="1"/>
        <v>17</v>
      </c>
      <c r="J34" s="48">
        <f>COUNT(J15:J32)</f>
        <v>18</v>
      </c>
      <c r="K34" s="50"/>
    </row>
    <row r="35" spans="2:11" ht="22.5" customHeight="1" x14ac:dyDescent="0.2">
      <c r="B35" s="730" t="s">
        <v>207</v>
      </c>
      <c r="C35" s="787"/>
      <c r="D35" s="54">
        <f t="shared" ref="D35:J35" si="2">$D$5</f>
        <v>0.75</v>
      </c>
      <c r="E35" s="54">
        <f t="shared" si="2"/>
        <v>0.75</v>
      </c>
      <c r="F35" s="54">
        <f t="shared" si="2"/>
        <v>0.75</v>
      </c>
      <c r="G35" s="54">
        <f t="shared" si="2"/>
        <v>0.75</v>
      </c>
      <c r="H35" s="54">
        <f t="shared" si="2"/>
        <v>0.75</v>
      </c>
      <c r="I35" s="54">
        <f t="shared" si="2"/>
        <v>0.75</v>
      </c>
      <c r="J35" s="54">
        <f t="shared" si="2"/>
        <v>0.75</v>
      </c>
      <c r="K35" s="50"/>
    </row>
    <row r="36" spans="2:11" ht="22.5" customHeight="1" x14ac:dyDescent="0.2">
      <c r="B36" s="730" t="s">
        <v>208</v>
      </c>
      <c r="C36" s="787"/>
      <c r="D36" s="54">
        <f t="shared" ref="D36:I36" si="3">D33/D34</f>
        <v>1</v>
      </c>
      <c r="E36" s="54">
        <f t="shared" si="3"/>
        <v>1</v>
      </c>
      <c r="F36" s="54">
        <f t="shared" si="3"/>
        <v>1</v>
      </c>
      <c r="G36" s="54">
        <f t="shared" si="3"/>
        <v>1</v>
      </c>
      <c r="H36" s="54">
        <f t="shared" si="3"/>
        <v>0.9375</v>
      </c>
      <c r="I36" s="54">
        <f t="shared" si="3"/>
        <v>0.94117647058823528</v>
      </c>
      <c r="J36" s="54">
        <f>J33/J34</f>
        <v>1</v>
      </c>
      <c r="K36" s="50"/>
    </row>
    <row r="37" spans="2:11" ht="22.5" customHeight="1" x14ac:dyDescent="0.25">
      <c r="B37" s="7"/>
      <c r="C37" s="7"/>
      <c r="D37" s="6"/>
      <c r="E37" s="6"/>
      <c r="F37" s="6"/>
      <c r="G37" s="6"/>
      <c r="H37" s="6"/>
      <c r="I37" s="6"/>
    </row>
    <row r="38" spans="2:11" ht="22.5" customHeight="1" x14ac:dyDescent="0.2">
      <c r="B38" s="567" t="s">
        <v>469</v>
      </c>
      <c r="C38" s="568"/>
      <c r="D38" s="568"/>
      <c r="E38" s="569"/>
      <c r="F38" s="8"/>
    </row>
    <row r="39" spans="2:11" ht="22.5" customHeight="1" x14ac:dyDescent="0.2">
      <c r="B39" s="8"/>
      <c r="C39" s="8"/>
      <c r="D39" s="8"/>
      <c r="E39" s="8"/>
      <c r="F39" s="8"/>
    </row>
    <row r="40" spans="2:11" ht="6" customHeight="1" x14ac:dyDescent="0.2">
      <c r="B40" s="8"/>
      <c r="C40" s="8"/>
      <c r="D40" s="8"/>
      <c r="E40" s="8"/>
      <c r="F40" s="8"/>
    </row>
    <row r="41" spans="2:11" ht="19.5" customHeight="1" x14ac:dyDescent="0.2">
      <c r="B41" s="8"/>
      <c r="C41" s="8"/>
      <c r="D41" s="8"/>
      <c r="E41" s="8"/>
      <c r="F41" s="8"/>
    </row>
    <row r="42" spans="2:11" ht="19.5" customHeight="1" x14ac:dyDescent="0.2">
      <c r="B42" s="8"/>
      <c r="C42" s="8"/>
      <c r="D42" s="8"/>
      <c r="E42" s="8"/>
      <c r="F42" s="8"/>
    </row>
    <row r="43" spans="2:11" ht="19.5" customHeight="1" x14ac:dyDescent="0.2">
      <c r="B43" s="8"/>
      <c r="C43" s="8"/>
      <c r="D43" s="8"/>
      <c r="E43" s="8"/>
      <c r="F43" s="8"/>
    </row>
    <row r="44" spans="2:11" ht="19.5" customHeight="1" x14ac:dyDescent="0.2">
      <c r="B44" s="8"/>
      <c r="C44" s="8"/>
      <c r="D44" s="8"/>
      <c r="E44" s="8"/>
      <c r="F44" s="8"/>
    </row>
    <row r="45" spans="2:11" ht="19.5" customHeight="1" x14ac:dyDescent="0.2">
      <c r="B45" s="8"/>
      <c r="C45" s="8"/>
      <c r="D45" s="8"/>
      <c r="E45" s="8"/>
      <c r="F45" s="8"/>
    </row>
    <row r="46" spans="2:11" ht="19.5" customHeight="1" x14ac:dyDescent="0.2">
      <c r="B46" s="8"/>
      <c r="C46" s="8"/>
      <c r="D46" s="8"/>
      <c r="E46" s="8"/>
      <c r="F46" s="8"/>
    </row>
    <row r="47" spans="2:11" ht="19.5" customHeight="1" x14ac:dyDescent="0.2">
      <c r="B47" s="8"/>
      <c r="C47" s="8"/>
      <c r="D47" s="8"/>
      <c r="E47" s="8"/>
      <c r="F47" s="8"/>
    </row>
    <row r="48" spans="2:11" ht="19.5" customHeight="1" x14ac:dyDescent="0.2">
      <c r="B48" s="8"/>
      <c r="C48" s="8"/>
      <c r="D48" s="8"/>
      <c r="E48" s="8"/>
      <c r="F48" s="8"/>
    </row>
    <row r="49" spans="8:10" ht="19.5" customHeight="1" x14ac:dyDescent="0.2"/>
    <row r="50" spans="8:10" ht="19.5" customHeight="1" x14ac:dyDescent="0.2">
      <c r="H50" s="559" t="s">
        <v>155</v>
      </c>
      <c r="I50" s="560"/>
      <c r="J50" s="560"/>
    </row>
  </sheetData>
  <sheetProtection formatCells="0" formatColumns="0" formatRows="0" insertColumns="0" insertRows="0" insertHyperlinks="0" deleteColumns="0" deleteRows="0" pivotTables="0"/>
  <mergeCells count="53">
    <mergeCell ref="B2:D2"/>
    <mergeCell ref="E2:J2"/>
    <mergeCell ref="B4:C4"/>
    <mergeCell ref="D4:E4"/>
    <mergeCell ref="F4:G4"/>
    <mergeCell ref="H4:J4"/>
    <mergeCell ref="B12:J12"/>
    <mergeCell ref="B9:C9"/>
    <mergeCell ref="B5:C5"/>
    <mergeCell ref="D5:E5"/>
    <mergeCell ref="F5:G5"/>
    <mergeCell ref="H5:J5"/>
    <mergeCell ref="B7:C7"/>
    <mergeCell ref="D7:E7"/>
    <mergeCell ref="F7:G7"/>
    <mergeCell ref="B6:C6"/>
    <mergeCell ref="D6:E6"/>
    <mergeCell ref="F6:G6"/>
    <mergeCell ref="H6:J6"/>
    <mergeCell ref="H7:J7"/>
    <mergeCell ref="B8:C8"/>
    <mergeCell ref="D8:E8"/>
    <mergeCell ref="B27:C27"/>
    <mergeCell ref="B18:C18"/>
    <mergeCell ref="B19:C19"/>
    <mergeCell ref="B20:C20"/>
    <mergeCell ref="B17:C17"/>
    <mergeCell ref="H50:J50"/>
    <mergeCell ref="B29:C29"/>
    <mergeCell ref="B30:C30"/>
    <mergeCell ref="B31:C31"/>
    <mergeCell ref="B32:C32"/>
    <mergeCell ref="B33:C33"/>
    <mergeCell ref="B34:C34"/>
    <mergeCell ref="B35:C35"/>
    <mergeCell ref="B36:C36"/>
    <mergeCell ref="B38:E38"/>
    <mergeCell ref="L28:L30"/>
    <mergeCell ref="B22:C22"/>
    <mergeCell ref="F8:G8"/>
    <mergeCell ref="H8:J8"/>
    <mergeCell ref="D9:E9"/>
    <mergeCell ref="F9:G9"/>
    <mergeCell ref="H9:J9"/>
    <mergeCell ref="B28:C28"/>
    <mergeCell ref="B11:J11"/>
    <mergeCell ref="B15:C15"/>
    <mergeCell ref="B16:C16"/>
    <mergeCell ref="B21:C21"/>
    <mergeCell ref="B23:C23"/>
    <mergeCell ref="B24:C24"/>
    <mergeCell ref="B25:C25"/>
    <mergeCell ref="B26:C26"/>
  </mergeCells>
  <conditionalFormatting sqref="D15:J32">
    <cfRule type="cellIs" dxfId="38" priority="1" operator="lessThan">
      <formula>0.75</formula>
    </cfRule>
  </conditionalFormatting>
  <pageMargins left="0.7" right="0.7" top="0.75" bottom="0.75" header="0" footer="0"/>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0CF6A-F5EF-4FD1-81F0-D989B76A67A0}">
  <sheetPr>
    <tabColor theme="9" tint="-0.499984740745262"/>
    <pageSetUpPr fitToPage="1"/>
  </sheetPr>
  <dimension ref="B2:S70"/>
  <sheetViews>
    <sheetView showGridLines="0" zoomScaleNormal="100" workbookViewId="0">
      <selection activeCell="D4" sqref="D4:E4"/>
    </sheetView>
  </sheetViews>
  <sheetFormatPr defaultColWidth="12.5703125" defaultRowHeight="15.75" customHeight="1" x14ac:dyDescent="0.2"/>
  <cols>
    <col min="1" max="1" width="3.42578125" customWidth="1"/>
    <col min="2" max="2" width="14.140625" customWidth="1"/>
    <col min="3" max="3" width="17" customWidth="1"/>
    <col min="4" max="4" width="17.28515625" customWidth="1"/>
    <col min="5"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Índex!B32</f>
        <v>PC2.04_Ind04.</v>
      </c>
      <c r="E4" s="716"/>
      <c r="F4" s="567" t="s">
        <v>194</v>
      </c>
      <c r="G4" s="569"/>
      <c r="H4" s="718" t="str">
        <f>Índex!C32</f>
        <v>Percentatge de titulacions amb una valoració global superior o igual a 3 sobre 4 (Enquesta d’assignatures)</v>
      </c>
      <c r="I4" s="715"/>
      <c r="J4" s="716"/>
    </row>
    <row r="5" spans="2:10" ht="22.5" customHeight="1" x14ac:dyDescent="0.2">
      <c r="B5" s="567" t="s">
        <v>314</v>
      </c>
      <c r="C5" s="569"/>
      <c r="D5" s="718" t="str">
        <f>Índex!F32</f>
        <v>≥80%</v>
      </c>
      <c r="E5" s="716"/>
      <c r="F5" s="567" t="s">
        <v>196</v>
      </c>
      <c r="G5" s="569"/>
      <c r="H5" s="718" t="s">
        <v>216</v>
      </c>
      <c r="I5" s="715"/>
      <c r="J5" s="716"/>
    </row>
    <row r="6" spans="2:10" ht="22.5" customHeight="1" x14ac:dyDescent="0.2">
      <c r="B6" s="567" t="s">
        <v>471</v>
      </c>
      <c r="C6" s="569"/>
      <c r="D6" s="718" t="str">
        <f>Índex!H32</f>
        <v>Objectiu de Qualitat. Grups d'interès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27.75" customHeight="1" x14ac:dyDescent="0.2">
      <c r="B8" s="567" t="s">
        <v>465</v>
      </c>
      <c r="C8" s="569"/>
      <c r="D8" s="718" t="str">
        <f>Índex!D32</f>
        <v>Vicedegà d’Economia i Afers Acadèmics de Postgrau</v>
      </c>
      <c r="E8" s="716"/>
      <c r="F8" s="567" t="s">
        <v>466</v>
      </c>
      <c r="G8" s="569"/>
      <c r="H8" s="718" t="str">
        <f>Índex!E32</f>
        <v>Gestora de Qualitat</v>
      </c>
      <c r="I8" s="715"/>
      <c r="J8" s="716"/>
    </row>
    <row r="9" spans="2:10" ht="48" customHeight="1" x14ac:dyDescent="0.2">
      <c r="B9" s="567" t="s">
        <v>461</v>
      </c>
      <c r="C9" s="569"/>
      <c r="D9" s="718" t="str">
        <f>Índex!G32</f>
        <v>PC2.04. Seguiment  i Millora de Titulacions</v>
      </c>
      <c r="E9" s="716"/>
      <c r="F9" s="567" t="s">
        <v>467</v>
      </c>
      <c r="G9" s="569"/>
      <c r="H9" s="718" t="s">
        <v>501</v>
      </c>
      <c r="I9" s="715"/>
      <c r="J9" s="716"/>
    </row>
    <row r="10" spans="2:10" ht="7.5" customHeight="1" x14ac:dyDescent="0.2"/>
    <row r="11" spans="2:10" ht="26.25" customHeight="1" x14ac:dyDescent="0.2"/>
    <row r="12" spans="2:10" ht="22.5" customHeight="1" x14ac:dyDescent="0.2">
      <c r="B12" s="796" t="s">
        <v>468</v>
      </c>
      <c r="C12" s="853"/>
      <c r="D12" s="853"/>
      <c r="E12" s="853"/>
      <c r="F12" s="853"/>
      <c r="G12" s="853"/>
      <c r="H12" s="853"/>
      <c r="I12" s="853"/>
      <c r="J12" s="797"/>
    </row>
    <row r="13" spans="2:10" ht="22.5" customHeight="1" x14ac:dyDescent="0.2">
      <c r="B13" s="127"/>
      <c r="C13" s="12"/>
      <c r="D13" s="12"/>
      <c r="E13" s="12"/>
      <c r="F13" s="12"/>
      <c r="G13" s="12"/>
      <c r="H13" s="12"/>
      <c r="I13" s="12"/>
      <c r="J13" s="12"/>
    </row>
    <row r="14" spans="2:10" ht="22.5" customHeight="1" x14ac:dyDescent="0.2">
      <c r="B14" s="272"/>
      <c r="C14" s="272"/>
      <c r="D14" s="78" t="s">
        <v>201</v>
      </c>
      <c r="E14" s="78" t="s">
        <v>202</v>
      </c>
      <c r="F14" s="78" t="s">
        <v>203</v>
      </c>
      <c r="G14" s="78" t="s">
        <v>204</v>
      </c>
      <c r="H14" s="78" t="s">
        <v>205</v>
      </c>
      <c r="I14" s="78" t="s">
        <v>256</v>
      </c>
      <c r="J14" s="12"/>
    </row>
    <row r="15" spans="2:10" ht="22.5" customHeight="1" x14ac:dyDescent="0.2">
      <c r="B15" s="682" t="s">
        <v>218</v>
      </c>
      <c r="C15" s="682"/>
      <c r="D15" s="321">
        <v>3.01</v>
      </c>
      <c r="E15" s="321">
        <v>3.13</v>
      </c>
      <c r="F15" s="321">
        <v>3.02</v>
      </c>
      <c r="G15" s="321">
        <v>3.09</v>
      </c>
      <c r="H15" s="321">
        <v>3.0249999999999999</v>
      </c>
      <c r="I15" s="321">
        <v>2.99</v>
      </c>
      <c r="J15" s="12"/>
    </row>
    <row r="16" spans="2:10" ht="28.5" customHeight="1" x14ac:dyDescent="0.2">
      <c r="B16" s="682" t="s">
        <v>235</v>
      </c>
      <c r="C16" s="682"/>
      <c r="D16" s="321" t="s">
        <v>282</v>
      </c>
      <c r="E16" s="321">
        <v>3.01</v>
      </c>
      <c r="F16" s="321" t="s">
        <v>282</v>
      </c>
      <c r="G16" s="321" t="s">
        <v>282</v>
      </c>
      <c r="H16" s="321" t="s">
        <v>282</v>
      </c>
      <c r="I16" s="321">
        <v>3.06</v>
      </c>
      <c r="J16" s="12"/>
    </row>
    <row r="17" spans="2:10" ht="22.5" customHeight="1" x14ac:dyDescent="0.2">
      <c r="B17" s="682" t="s">
        <v>220</v>
      </c>
      <c r="C17" s="682"/>
      <c r="D17" s="321">
        <v>3.04</v>
      </c>
      <c r="E17" s="321">
        <v>3.04</v>
      </c>
      <c r="F17" s="321">
        <v>2.57</v>
      </c>
      <c r="G17" s="321">
        <v>3.17</v>
      </c>
      <c r="H17" s="321">
        <v>3.0950000000000002</v>
      </c>
      <c r="I17" s="321">
        <v>3.0150000000000001</v>
      </c>
      <c r="J17" s="12"/>
    </row>
    <row r="18" spans="2:10" ht="22.5" customHeight="1" x14ac:dyDescent="0.2">
      <c r="B18" s="682" t="s">
        <v>221</v>
      </c>
      <c r="C18" s="682"/>
      <c r="D18" s="321">
        <v>3.13</v>
      </c>
      <c r="E18" s="321">
        <v>3.01</v>
      </c>
      <c r="F18" s="321">
        <v>3.16</v>
      </c>
      <c r="G18" s="321">
        <v>3.25</v>
      </c>
      <c r="H18" s="321">
        <v>3.1749999999999998</v>
      </c>
      <c r="I18" s="321">
        <v>3.16</v>
      </c>
      <c r="J18" s="12"/>
    </row>
    <row r="19" spans="2:10" ht="22.5" customHeight="1" x14ac:dyDescent="0.2">
      <c r="B19" s="682" t="s">
        <v>294</v>
      </c>
      <c r="C19" s="682"/>
      <c r="D19" s="321" t="s">
        <v>282</v>
      </c>
      <c r="E19" s="321">
        <v>3.11</v>
      </c>
      <c r="F19" s="321">
        <v>3.16</v>
      </c>
      <c r="G19" s="321">
        <v>3.19</v>
      </c>
      <c r="H19" s="321">
        <v>3.11</v>
      </c>
      <c r="I19" s="321">
        <v>3.105</v>
      </c>
      <c r="J19" s="12"/>
    </row>
    <row r="20" spans="2:10" ht="22.5" customHeight="1" x14ac:dyDescent="0.2">
      <c r="B20" s="682" t="s">
        <v>295</v>
      </c>
      <c r="C20" s="682"/>
      <c r="D20" s="321" t="s">
        <v>282</v>
      </c>
      <c r="E20" s="321">
        <v>3.11</v>
      </c>
      <c r="F20" s="321">
        <v>2.99</v>
      </c>
      <c r="G20" s="321">
        <v>2.99</v>
      </c>
      <c r="H20" s="321">
        <v>3.04</v>
      </c>
      <c r="I20" s="321">
        <v>3.1150000000000002</v>
      </c>
      <c r="J20" s="12"/>
    </row>
    <row r="21" spans="2:10" ht="22.5" customHeight="1" x14ac:dyDescent="0.2">
      <c r="B21" s="682" t="s">
        <v>224</v>
      </c>
      <c r="C21" s="682"/>
      <c r="D21" s="331">
        <v>2.89</v>
      </c>
      <c r="E21" s="321">
        <v>2.88</v>
      </c>
      <c r="F21" s="321">
        <v>2.99</v>
      </c>
      <c r="G21" s="321">
        <v>3.19</v>
      </c>
      <c r="H21" s="321">
        <v>3.0550000000000002</v>
      </c>
      <c r="I21" s="321">
        <v>3.01</v>
      </c>
      <c r="J21" s="12"/>
    </row>
    <row r="22" spans="2:10" ht="22.5" customHeight="1" x14ac:dyDescent="0.2">
      <c r="B22" s="682" t="s">
        <v>306</v>
      </c>
      <c r="C22" s="682"/>
      <c r="D22" s="321">
        <v>3.22</v>
      </c>
      <c r="E22" s="321">
        <v>3.36</v>
      </c>
      <c r="F22" s="321">
        <v>3.13</v>
      </c>
      <c r="G22" s="321">
        <v>3.22</v>
      </c>
      <c r="H22" s="321">
        <v>3.0750000000000002</v>
      </c>
      <c r="I22" s="321">
        <v>3.33</v>
      </c>
      <c r="J22" s="12"/>
    </row>
    <row r="23" spans="2:10" ht="22.5" customHeight="1" x14ac:dyDescent="0.2">
      <c r="B23" s="682" t="s">
        <v>226</v>
      </c>
      <c r="C23" s="682"/>
      <c r="D23" s="321">
        <v>3.22</v>
      </c>
      <c r="E23" s="321">
        <v>3.26</v>
      </c>
      <c r="F23" s="321">
        <v>3.3</v>
      </c>
      <c r="G23" s="321">
        <v>3.26</v>
      </c>
      <c r="H23" s="321">
        <v>3.36</v>
      </c>
      <c r="I23" s="321">
        <v>3.29</v>
      </c>
      <c r="J23" s="12"/>
    </row>
    <row r="24" spans="2:10" ht="28.5" customHeight="1" x14ac:dyDescent="0.2">
      <c r="B24" s="682" t="s">
        <v>227</v>
      </c>
      <c r="C24" s="682"/>
      <c r="D24" s="321">
        <v>3.12</v>
      </c>
      <c r="E24" s="321">
        <v>3.1</v>
      </c>
      <c r="F24" s="321">
        <v>3.07</v>
      </c>
      <c r="G24" s="321">
        <v>3.28</v>
      </c>
      <c r="H24" s="321">
        <v>3.26</v>
      </c>
      <c r="I24" s="321">
        <v>3.2149999999999999</v>
      </c>
      <c r="J24" s="12"/>
    </row>
    <row r="25" spans="2:10" ht="22.5" customHeight="1" x14ac:dyDescent="0.2">
      <c r="B25" s="682" t="s">
        <v>228</v>
      </c>
      <c r="C25" s="682"/>
      <c r="D25" s="321">
        <v>3.11</v>
      </c>
      <c r="E25" s="321">
        <v>3.15</v>
      </c>
      <c r="F25" s="321">
        <v>3.08</v>
      </c>
      <c r="G25" s="321">
        <v>3.22</v>
      </c>
      <c r="H25" s="321">
        <v>3.1949999999999998</v>
      </c>
      <c r="I25" s="321">
        <v>3.2349999999999999</v>
      </c>
      <c r="J25" s="12"/>
    </row>
    <row r="26" spans="2:10" ht="42.75" customHeight="1" x14ac:dyDescent="0.2">
      <c r="B26" s="682" t="s">
        <v>241</v>
      </c>
      <c r="C26" s="682"/>
      <c r="D26" s="321">
        <v>3.08</v>
      </c>
      <c r="E26" s="331">
        <v>2.97</v>
      </c>
      <c r="F26" s="321" t="s">
        <v>282</v>
      </c>
      <c r="G26" s="321">
        <v>3.62</v>
      </c>
      <c r="H26" s="321">
        <v>3.32</v>
      </c>
      <c r="I26" s="321">
        <v>3.3149999999999999</v>
      </c>
      <c r="J26" s="12"/>
    </row>
    <row r="27" spans="2:10" ht="28.5" customHeight="1" x14ac:dyDescent="0.2">
      <c r="B27" s="682" t="s">
        <v>266</v>
      </c>
      <c r="C27" s="682"/>
      <c r="D27" s="321">
        <v>3</v>
      </c>
      <c r="E27" s="321">
        <v>2.91</v>
      </c>
      <c r="F27" s="321">
        <v>3.4</v>
      </c>
      <c r="G27" s="321">
        <v>3.12</v>
      </c>
      <c r="H27" s="321">
        <v>3.89</v>
      </c>
      <c r="I27" s="321">
        <v>3.2</v>
      </c>
      <c r="J27" s="12"/>
    </row>
    <row r="28" spans="2:10" ht="28.5" customHeight="1" x14ac:dyDescent="0.2">
      <c r="B28" s="682" t="s">
        <v>252</v>
      </c>
      <c r="C28" s="682"/>
      <c r="D28" s="321">
        <v>3.25</v>
      </c>
      <c r="E28" s="321">
        <v>3.29</v>
      </c>
      <c r="F28" s="321">
        <v>3.63</v>
      </c>
      <c r="G28" s="321">
        <v>3.64</v>
      </c>
      <c r="H28" s="321">
        <v>3.54</v>
      </c>
      <c r="I28" s="321">
        <v>3.23</v>
      </c>
      <c r="J28" s="12"/>
    </row>
    <row r="29" spans="2:10" ht="28.5" customHeight="1" x14ac:dyDescent="0.2">
      <c r="B29" s="682" t="s">
        <v>244</v>
      </c>
      <c r="C29" s="682"/>
      <c r="D29" s="321">
        <v>3.02</v>
      </c>
      <c r="E29" s="321">
        <v>3.32</v>
      </c>
      <c r="F29" s="321">
        <v>2.77</v>
      </c>
      <c r="G29" s="321">
        <v>3.09</v>
      </c>
      <c r="H29" s="321" t="s">
        <v>282</v>
      </c>
      <c r="I29" s="321" t="s">
        <v>213</v>
      </c>
      <c r="J29" s="12"/>
    </row>
    <row r="30" spans="2:10" ht="28.5" customHeight="1" x14ac:dyDescent="0.2">
      <c r="B30" s="682" t="s">
        <v>253</v>
      </c>
      <c r="C30" s="682"/>
      <c r="D30" s="331">
        <v>2.95</v>
      </c>
      <c r="E30" s="321">
        <v>3.12</v>
      </c>
      <c r="F30" s="321" t="s">
        <v>282</v>
      </c>
      <c r="G30" s="331">
        <v>2.52</v>
      </c>
      <c r="H30" s="332">
        <v>3.09</v>
      </c>
      <c r="I30" s="332">
        <v>3.05</v>
      </c>
      <c r="J30" s="12"/>
    </row>
    <row r="31" spans="2:10" ht="22.5" customHeight="1" x14ac:dyDescent="0.2">
      <c r="B31" s="682" t="s">
        <v>245</v>
      </c>
      <c r="C31" s="682"/>
      <c r="D31" s="321">
        <v>3.43</v>
      </c>
      <c r="E31" s="321">
        <v>3.19</v>
      </c>
      <c r="F31" s="321" t="s">
        <v>282</v>
      </c>
      <c r="G31" s="321" t="s">
        <v>282</v>
      </c>
      <c r="H31" s="331">
        <v>1.7549999999999999</v>
      </c>
      <c r="I31" s="321">
        <v>3.03</v>
      </c>
      <c r="J31" s="12"/>
    </row>
    <row r="32" spans="2:10" ht="42.75" customHeight="1" x14ac:dyDescent="0.2">
      <c r="B32" s="682" t="s">
        <v>246</v>
      </c>
      <c r="C32" s="682"/>
      <c r="D32" s="321">
        <v>3.05</v>
      </c>
      <c r="E32" s="321">
        <v>2.84</v>
      </c>
      <c r="F32" s="321" t="s">
        <v>282</v>
      </c>
      <c r="G32" s="321" t="s">
        <v>282</v>
      </c>
      <c r="H32" s="331">
        <v>1.52</v>
      </c>
      <c r="I32" s="321">
        <v>4</v>
      </c>
      <c r="J32" s="12"/>
    </row>
    <row r="33" spans="2:19" ht="63.75" customHeight="1" x14ac:dyDescent="0.2">
      <c r="B33" s="682" t="s">
        <v>315</v>
      </c>
      <c r="C33" s="682"/>
      <c r="D33" s="28" t="s">
        <v>213</v>
      </c>
      <c r="E33" s="28" t="s">
        <v>213</v>
      </c>
      <c r="F33" s="28" t="s">
        <v>213</v>
      </c>
      <c r="G33" s="28" t="s">
        <v>316</v>
      </c>
      <c r="H33" s="28" t="s">
        <v>317</v>
      </c>
      <c r="I33" s="28" t="s">
        <v>502</v>
      </c>
      <c r="J33" s="12"/>
    </row>
    <row r="34" spans="2:19" ht="57" customHeight="1" x14ac:dyDescent="0.2">
      <c r="B34" s="682" t="s">
        <v>318</v>
      </c>
      <c r="C34" s="682"/>
      <c r="D34" s="324">
        <f t="shared" ref="D34:I34" si="0">COUNTIF(D15:D32,"&gt;="&amp;D36)</f>
        <v>13</v>
      </c>
      <c r="E34" s="324">
        <f t="shared" si="0"/>
        <v>14</v>
      </c>
      <c r="F34" s="324">
        <f t="shared" si="0"/>
        <v>9</v>
      </c>
      <c r="G34" s="324">
        <f t="shared" si="0"/>
        <v>13</v>
      </c>
      <c r="H34" s="324">
        <f t="shared" si="0"/>
        <v>14</v>
      </c>
      <c r="I34" s="324">
        <f t="shared" si="0"/>
        <v>16</v>
      </c>
      <c r="J34" s="12"/>
    </row>
    <row r="35" spans="2:19" ht="22.5" customHeight="1" x14ac:dyDescent="0.2">
      <c r="B35" s="854" t="s">
        <v>248</v>
      </c>
      <c r="C35" s="854"/>
      <c r="D35" s="330">
        <f t="shared" ref="D35:I35" si="1">COUNT(D15:D32)</f>
        <v>15</v>
      </c>
      <c r="E35" s="330">
        <f t="shared" si="1"/>
        <v>18</v>
      </c>
      <c r="F35" s="330">
        <f t="shared" si="1"/>
        <v>13</v>
      </c>
      <c r="G35" s="330">
        <f t="shared" si="1"/>
        <v>15</v>
      </c>
      <c r="H35" s="330">
        <f t="shared" si="1"/>
        <v>16</v>
      </c>
      <c r="I35" s="330">
        <f t="shared" si="1"/>
        <v>17</v>
      </c>
      <c r="J35" s="12"/>
    </row>
    <row r="36" spans="2:19" ht="22.5" customHeight="1" x14ac:dyDescent="0.2">
      <c r="B36" s="856" t="s">
        <v>592</v>
      </c>
      <c r="C36" s="857"/>
      <c r="D36" s="330">
        <v>3</v>
      </c>
      <c r="E36" s="330">
        <v>3</v>
      </c>
      <c r="F36" s="330">
        <v>3</v>
      </c>
      <c r="G36" s="330">
        <v>3</v>
      </c>
      <c r="H36" s="330">
        <v>3</v>
      </c>
      <c r="I36" s="330">
        <v>3</v>
      </c>
      <c r="J36" s="12"/>
    </row>
    <row r="37" spans="2:19" ht="22.5" customHeight="1" x14ac:dyDescent="0.2">
      <c r="B37" s="856" t="s">
        <v>5</v>
      </c>
      <c r="C37" s="857"/>
      <c r="D37" s="35">
        <v>0.8</v>
      </c>
      <c r="E37" s="35">
        <v>0.8</v>
      </c>
      <c r="F37" s="35">
        <v>0.8</v>
      </c>
      <c r="G37" s="35">
        <v>0.8</v>
      </c>
      <c r="H37" s="35">
        <v>0.8</v>
      </c>
      <c r="I37" s="35">
        <v>0.8</v>
      </c>
      <c r="J37" s="12"/>
    </row>
    <row r="38" spans="2:19" ht="22.5" customHeight="1" x14ac:dyDescent="0.2">
      <c r="B38" s="855" t="s">
        <v>208</v>
      </c>
      <c r="C38" s="855"/>
      <c r="D38" s="35">
        <f t="shared" ref="D38:I38" si="2">D34/D35</f>
        <v>0.8666666666666667</v>
      </c>
      <c r="E38" s="35">
        <f t="shared" si="2"/>
        <v>0.77777777777777779</v>
      </c>
      <c r="F38" s="35">
        <f t="shared" si="2"/>
        <v>0.69230769230769229</v>
      </c>
      <c r="G38" s="35">
        <f t="shared" si="2"/>
        <v>0.8666666666666667</v>
      </c>
      <c r="H38" s="35">
        <f t="shared" si="2"/>
        <v>0.875</v>
      </c>
      <c r="I38" s="35">
        <f t="shared" si="2"/>
        <v>0.94117647058823528</v>
      </c>
      <c r="J38" s="12"/>
      <c r="P38" s="788" t="s">
        <v>470</v>
      </c>
      <c r="Q38" s="789"/>
      <c r="R38" s="789"/>
      <c r="S38" s="789"/>
    </row>
    <row r="39" spans="2:19" ht="22.5" customHeight="1" x14ac:dyDescent="0.2">
      <c r="B39" s="13"/>
      <c r="C39" s="12"/>
      <c r="D39" s="12"/>
      <c r="E39" s="12"/>
      <c r="F39" s="12"/>
      <c r="G39" s="12"/>
      <c r="H39" s="12"/>
      <c r="I39" s="12"/>
      <c r="J39" s="12"/>
      <c r="P39" s="667" t="s">
        <v>155</v>
      </c>
      <c r="Q39" s="667"/>
      <c r="R39" s="667"/>
      <c r="S39" s="667"/>
    </row>
    <row r="40" spans="2:19" ht="22.5" customHeight="1" x14ac:dyDescent="0.2">
      <c r="B40" s="567" t="s">
        <v>469</v>
      </c>
      <c r="C40" s="568"/>
      <c r="D40" s="568"/>
      <c r="E40" s="569"/>
      <c r="F40" s="12"/>
      <c r="G40" s="12"/>
      <c r="H40" s="12"/>
      <c r="I40" s="12"/>
      <c r="J40" s="12"/>
      <c r="P40" s="667"/>
      <c r="Q40" s="667"/>
      <c r="R40" s="667"/>
      <c r="S40" s="667"/>
    </row>
    <row r="41" spans="2:19" ht="22.5" customHeight="1" x14ac:dyDescent="0.2">
      <c r="B41" s="13"/>
      <c r="C41" s="12"/>
      <c r="D41" s="12"/>
      <c r="E41" s="12"/>
      <c r="F41" s="12"/>
      <c r="G41" s="12"/>
      <c r="H41" s="12"/>
      <c r="I41" s="12"/>
      <c r="J41" s="12"/>
      <c r="P41" s="667"/>
      <c r="Q41" s="667"/>
      <c r="R41" s="667"/>
      <c r="S41" s="667"/>
    </row>
    <row r="42" spans="2:19" ht="22.5" customHeight="1" x14ac:dyDescent="0.2">
      <c r="B42" s="13"/>
      <c r="C42" s="12"/>
      <c r="D42" s="12"/>
      <c r="E42" s="12"/>
      <c r="F42" s="12"/>
      <c r="G42" s="12"/>
      <c r="H42" s="12"/>
      <c r="I42" s="12"/>
      <c r="J42" s="12"/>
      <c r="P42" s="667"/>
      <c r="Q42" s="667"/>
      <c r="R42" s="667"/>
      <c r="S42" s="667"/>
    </row>
    <row r="43" spans="2:19" ht="22.5" customHeight="1" x14ac:dyDescent="0.2">
      <c r="B43" s="13"/>
      <c r="C43" s="12"/>
      <c r="D43" s="12"/>
      <c r="E43" s="12"/>
      <c r="F43" s="12"/>
      <c r="G43" s="12"/>
      <c r="H43" s="12"/>
      <c r="I43" s="12"/>
      <c r="J43" s="12"/>
      <c r="P43" s="667"/>
      <c r="Q43" s="667"/>
      <c r="R43" s="667"/>
      <c r="S43" s="667"/>
    </row>
    <row r="44" spans="2:19" ht="22.5" customHeight="1" x14ac:dyDescent="0.2">
      <c r="B44" s="13"/>
      <c r="C44" s="12"/>
      <c r="D44" s="12"/>
      <c r="E44" s="12"/>
      <c r="F44" s="12"/>
      <c r="G44" s="12"/>
      <c r="H44" s="12"/>
      <c r="I44" s="12"/>
      <c r="J44" s="12"/>
      <c r="K44" s="9"/>
      <c r="L44" s="9"/>
      <c r="M44" s="9"/>
      <c r="N44" s="9"/>
      <c r="P44" s="667"/>
      <c r="Q44" s="667"/>
      <c r="R44" s="667"/>
      <c r="S44" s="667"/>
    </row>
    <row r="45" spans="2:19" ht="22.5" customHeight="1" x14ac:dyDescent="0.2">
      <c r="B45" s="13"/>
      <c r="C45" s="12"/>
      <c r="D45" s="12"/>
      <c r="E45" s="12"/>
      <c r="F45" s="12"/>
      <c r="G45" s="12"/>
      <c r="H45" s="12"/>
      <c r="I45" s="12"/>
      <c r="J45" s="12"/>
      <c r="K45" s="9"/>
      <c r="L45" s="9"/>
      <c r="M45" s="9"/>
      <c r="N45" s="9"/>
      <c r="P45" s="667"/>
      <c r="Q45" s="667"/>
      <c r="R45" s="667"/>
      <c r="S45" s="667"/>
    </row>
    <row r="46" spans="2:19" ht="22.5" customHeight="1" x14ac:dyDescent="0.2">
      <c r="B46" s="13"/>
      <c r="C46" s="12"/>
      <c r="D46" s="12"/>
      <c r="E46" s="12"/>
      <c r="F46" s="12"/>
      <c r="G46" s="12"/>
      <c r="H46" s="12"/>
      <c r="I46" s="12"/>
      <c r="J46" s="12"/>
      <c r="K46" s="9"/>
      <c r="L46" s="9"/>
      <c r="M46" s="9"/>
      <c r="N46" s="9"/>
      <c r="P46" s="667"/>
      <c r="Q46" s="667"/>
      <c r="R46" s="667"/>
      <c r="S46" s="667"/>
    </row>
    <row r="47" spans="2:19" ht="22.5" customHeight="1" x14ac:dyDescent="0.2">
      <c r="B47" s="13"/>
      <c r="C47" s="12"/>
      <c r="D47" s="12"/>
      <c r="E47" s="12"/>
      <c r="F47" s="12"/>
      <c r="G47" s="12"/>
      <c r="H47" s="12"/>
      <c r="I47" s="12"/>
      <c r="J47" s="12"/>
      <c r="K47" s="9"/>
      <c r="L47" s="9"/>
      <c r="M47" s="9"/>
      <c r="N47" s="9"/>
      <c r="P47" s="667"/>
      <c r="Q47" s="667"/>
      <c r="R47" s="667"/>
      <c r="S47" s="667"/>
    </row>
    <row r="48" spans="2:19" ht="22.5" customHeight="1" x14ac:dyDescent="0.2">
      <c r="B48" s="13"/>
      <c r="C48" s="12"/>
      <c r="D48" s="12"/>
      <c r="E48" s="12"/>
      <c r="F48" s="12"/>
      <c r="G48" s="12"/>
      <c r="H48" s="12"/>
      <c r="I48" s="12"/>
      <c r="J48" s="12"/>
      <c r="K48" s="9"/>
      <c r="L48" s="9"/>
      <c r="M48" s="9"/>
      <c r="N48" s="9"/>
      <c r="P48" s="667"/>
      <c r="Q48" s="667"/>
      <c r="R48" s="667"/>
      <c r="S48" s="667"/>
    </row>
    <row r="49" spans="2:14" ht="22.5" customHeight="1" x14ac:dyDescent="0.2">
      <c r="B49" s="13"/>
      <c r="C49" s="12"/>
      <c r="D49" s="12"/>
      <c r="E49" s="12"/>
      <c r="F49" s="12"/>
      <c r="G49" s="12"/>
      <c r="H49" s="12"/>
      <c r="I49" s="12"/>
      <c r="J49" s="12"/>
      <c r="K49" s="9"/>
      <c r="L49" s="9"/>
      <c r="M49" s="9"/>
      <c r="N49" s="9"/>
    </row>
    <row r="50" spans="2:14" ht="22.5" customHeight="1" x14ac:dyDescent="0.2">
      <c r="B50" s="13"/>
      <c r="C50" s="12"/>
      <c r="D50" s="12"/>
      <c r="E50" s="12"/>
      <c r="F50" s="12"/>
      <c r="G50" s="12"/>
      <c r="H50" s="12"/>
      <c r="I50" s="12"/>
      <c r="J50" s="12"/>
      <c r="K50" s="9"/>
      <c r="L50" s="9"/>
      <c r="M50" s="9"/>
      <c r="N50" s="9"/>
    </row>
    <row r="51" spans="2:14" ht="22.5" customHeight="1" x14ac:dyDescent="0.2">
      <c r="B51" s="13"/>
      <c r="C51" s="12"/>
      <c r="D51" s="12"/>
      <c r="E51" s="12"/>
      <c r="F51" s="12"/>
      <c r="G51" s="12"/>
      <c r="H51" s="12"/>
      <c r="I51" s="12"/>
      <c r="J51" s="12"/>
      <c r="K51" s="9"/>
      <c r="L51" s="9"/>
      <c r="M51" s="9"/>
      <c r="N51" s="9"/>
    </row>
    <row r="52" spans="2:14" ht="22.5" customHeight="1" x14ac:dyDescent="0.2">
      <c r="B52" s="13"/>
      <c r="C52" s="12"/>
      <c r="D52" s="12"/>
      <c r="E52" s="12"/>
      <c r="F52" s="12"/>
      <c r="G52" s="12"/>
      <c r="H52" s="12"/>
      <c r="I52" s="12"/>
      <c r="J52" s="12"/>
      <c r="K52" s="9"/>
      <c r="L52" s="9"/>
      <c r="M52" s="9"/>
      <c r="N52" s="9"/>
    </row>
    <row r="53" spans="2:14" ht="22.5" customHeight="1" x14ac:dyDescent="0.2">
      <c r="B53" s="13"/>
      <c r="C53" s="12"/>
      <c r="D53" s="12"/>
      <c r="E53" s="12"/>
      <c r="F53" s="12"/>
      <c r="G53" s="12"/>
      <c r="H53" s="12"/>
      <c r="I53" s="12"/>
      <c r="J53" s="12"/>
      <c r="K53" s="9"/>
      <c r="L53" s="9"/>
      <c r="M53" s="9"/>
      <c r="N53" s="9"/>
    </row>
    <row r="58" spans="2:14" ht="22.5" customHeight="1" x14ac:dyDescent="0.2">
      <c r="B58" s="850" t="s">
        <v>155</v>
      </c>
      <c r="C58" s="851"/>
      <c r="D58" s="851"/>
      <c r="E58" s="852"/>
    </row>
    <row r="70" spans="8:10" ht="19.5" customHeight="1" x14ac:dyDescent="0.2">
      <c r="H70" s="559" t="s">
        <v>155</v>
      </c>
      <c r="I70" s="560"/>
      <c r="J70" s="560"/>
    </row>
  </sheetData>
  <sheetProtection formatCells="0" formatColumns="0" formatRows="0" insertColumns="0" insertRows="0" insertHyperlinks="0" deleteColumns="0" deleteRows="0" pivotTables="0"/>
  <mergeCells count="56">
    <mergeCell ref="P38:S38"/>
    <mergeCell ref="P39:S48"/>
    <mergeCell ref="F8:G8"/>
    <mergeCell ref="H8:J8"/>
    <mergeCell ref="D9:E9"/>
    <mergeCell ref="F9:G9"/>
    <mergeCell ref="H9:J9"/>
    <mergeCell ref="B28:C28"/>
    <mergeCell ref="B29:C29"/>
    <mergeCell ref="B35:C35"/>
    <mergeCell ref="B38:C38"/>
    <mergeCell ref="B40:E40"/>
    <mergeCell ref="B30:C30"/>
    <mergeCell ref="B31:C31"/>
    <mergeCell ref="B32:C32"/>
    <mergeCell ref="B33:C33"/>
    <mergeCell ref="B34:C34"/>
    <mergeCell ref="B36:C36"/>
    <mergeCell ref="B37:C37"/>
    <mergeCell ref="B2:D2"/>
    <mergeCell ref="E2:J2"/>
    <mergeCell ref="B4:C4"/>
    <mergeCell ref="D4:E4"/>
    <mergeCell ref="F4:G4"/>
    <mergeCell ref="H4:J4"/>
    <mergeCell ref="B9:C9"/>
    <mergeCell ref="B5:C5"/>
    <mergeCell ref="D5:E5"/>
    <mergeCell ref="F5:G5"/>
    <mergeCell ref="H5:J5"/>
    <mergeCell ref="B7:C7"/>
    <mergeCell ref="D7:E7"/>
    <mergeCell ref="F7:G7"/>
    <mergeCell ref="B6:C6"/>
    <mergeCell ref="D6:E6"/>
    <mergeCell ref="F6:G6"/>
    <mergeCell ref="H6:J6"/>
    <mergeCell ref="H7:J7"/>
    <mergeCell ref="B8:C8"/>
    <mergeCell ref="D8:E8"/>
    <mergeCell ref="H70:J70"/>
    <mergeCell ref="B58:E58"/>
    <mergeCell ref="B12:J12"/>
    <mergeCell ref="B15:C15"/>
    <mergeCell ref="B16:C16"/>
    <mergeCell ref="B17:C17"/>
    <mergeCell ref="B18:C18"/>
    <mergeCell ref="B19:C19"/>
    <mergeCell ref="B20:C20"/>
    <mergeCell ref="B21:C21"/>
    <mergeCell ref="B22:C22"/>
    <mergeCell ref="B23:C23"/>
    <mergeCell ref="B24:C24"/>
    <mergeCell ref="B25:C25"/>
    <mergeCell ref="B26:C26"/>
    <mergeCell ref="B27:C27"/>
  </mergeCells>
  <phoneticPr fontId="95" type="noConversion"/>
  <conditionalFormatting sqref="D15:I32">
    <cfRule type="cellIs" dxfId="37" priority="2" operator="lessThan">
      <formula>3</formula>
    </cfRule>
  </conditionalFormatting>
  <pageMargins left="0.7" right="0.7" top="0.75" bottom="0.75" header="0" footer="0"/>
  <pageSetup paperSize="9" scale="4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09D75-B43A-44D7-99FD-312966191765}">
  <sheetPr>
    <tabColor theme="9" tint="-0.499984740745262"/>
    <pageSetUpPr fitToPage="1"/>
  </sheetPr>
  <dimension ref="B2:L46"/>
  <sheetViews>
    <sheetView showGridLines="0" workbookViewId="0">
      <selection activeCell="L6" sqref="L6"/>
    </sheetView>
  </sheetViews>
  <sheetFormatPr defaultColWidth="12.5703125" defaultRowHeight="15.75" customHeight="1" x14ac:dyDescent="0.2"/>
  <cols>
    <col min="1" max="1" width="3.42578125" customWidth="1"/>
    <col min="2" max="2" width="14.140625" customWidth="1"/>
    <col min="3" max="3" width="18.42578125" customWidth="1"/>
    <col min="4" max="4" width="17.28515625" bestFit="1" customWidth="1"/>
    <col min="5" max="6" width="12.5703125" customWidth="1"/>
    <col min="7" max="7" width="14" customWidth="1"/>
    <col min="8" max="9" width="12.5703125" customWidth="1"/>
    <col min="10" max="10" width="36.28515625" customWidth="1"/>
    <col min="11" max="11" width="7.5703125" customWidth="1"/>
    <col min="12" max="12" width="24.85546875" customWidth="1"/>
    <col min="13"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Índex!B33</f>
        <v>PC2.05_Ind01.</v>
      </c>
      <c r="E4" s="716"/>
      <c r="F4" s="567" t="s">
        <v>194</v>
      </c>
      <c r="G4" s="569"/>
      <c r="H4" s="718" t="str">
        <f>Índex!C33</f>
        <v>Percentatge de propostes de modificació presentades a AQU que han obtingut l'avaluació favorable desglossades per curs acadèmic, per Grau i Màster.</v>
      </c>
      <c r="I4" s="715"/>
      <c r="J4" s="716"/>
    </row>
    <row r="5" spans="2:10" ht="22.5" customHeight="1" x14ac:dyDescent="0.2">
      <c r="B5" s="567" t="s">
        <v>195</v>
      </c>
      <c r="C5" s="569"/>
      <c r="D5" s="862">
        <f>Índex!F33</f>
        <v>1</v>
      </c>
      <c r="E5" s="863"/>
      <c r="F5" s="864" t="s">
        <v>196</v>
      </c>
      <c r="G5" s="569"/>
      <c r="H5" s="798" t="s">
        <v>216</v>
      </c>
      <c r="I5" s="782"/>
      <c r="J5" s="783"/>
    </row>
    <row r="6" spans="2:10" ht="40.5" customHeight="1" x14ac:dyDescent="0.2">
      <c r="B6" s="567" t="s">
        <v>471</v>
      </c>
      <c r="C6" s="569"/>
      <c r="D6" s="862" t="str">
        <f>Índex!H33</f>
        <v>Objectiu de Qualitat. Qualitat dels programes formatius</v>
      </c>
      <c r="E6" s="863"/>
      <c r="F6" s="864" t="s">
        <v>462</v>
      </c>
      <c r="G6" s="569"/>
      <c r="H6" s="798"/>
      <c r="I6" s="782"/>
      <c r="J6" s="783"/>
    </row>
    <row r="7" spans="2:10" ht="22.5" customHeight="1" x14ac:dyDescent="0.2">
      <c r="B7" s="567" t="s">
        <v>463</v>
      </c>
      <c r="C7" s="569"/>
      <c r="D7" s="862"/>
      <c r="E7" s="863"/>
      <c r="F7" s="864" t="s">
        <v>464</v>
      </c>
      <c r="G7" s="569"/>
      <c r="H7" s="798" t="s">
        <v>198</v>
      </c>
      <c r="I7" s="782"/>
      <c r="J7" s="783"/>
    </row>
    <row r="8" spans="2:10" ht="38.25" customHeight="1" x14ac:dyDescent="0.2">
      <c r="B8" s="567" t="s">
        <v>465</v>
      </c>
      <c r="C8" s="569"/>
      <c r="D8" s="862" t="str">
        <f>Índex!D33</f>
        <v xml:space="preserve"> Vicedegana d'Afers Acadèmics de Grau</v>
      </c>
      <c r="E8" s="863"/>
      <c r="F8" s="864" t="s">
        <v>472</v>
      </c>
      <c r="G8" s="569"/>
      <c r="H8" s="870" t="str">
        <f>Índex!E33</f>
        <v>Gestora de Qualitat</v>
      </c>
      <c r="I8" s="782"/>
      <c r="J8" s="783"/>
    </row>
    <row r="9" spans="2:10" ht="22.5" customHeight="1" x14ac:dyDescent="0.2">
      <c r="B9" s="567" t="s">
        <v>461</v>
      </c>
      <c r="C9" s="569"/>
      <c r="D9" s="862" t="str">
        <f>Índex!G33</f>
        <v>PC2.05. Modificació de Titulacions</v>
      </c>
      <c r="E9" s="863"/>
      <c r="F9" s="864" t="s">
        <v>467</v>
      </c>
      <c r="G9" s="568"/>
      <c r="H9" s="871"/>
      <c r="I9" s="787"/>
      <c r="J9" s="787"/>
    </row>
    <row r="10" spans="2:10" ht="7.5" customHeight="1" x14ac:dyDescent="0.2"/>
    <row r="11" spans="2:10" ht="22.5" customHeight="1" x14ac:dyDescent="0.2">
      <c r="B11" s="567" t="s">
        <v>468</v>
      </c>
      <c r="C11" s="568"/>
      <c r="D11" s="568"/>
      <c r="E11" s="568"/>
      <c r="F11" s="568"/>
      <c r="G11" s="568"/>
      <c r="H11" s="568"/>
      <c r="I11" s="568"/>
      <c r="J11" s="569"/>
    </row>
    <row r="12" spans="2:10" ht="22.5" customHeight="1" thickBot="1" x14ac:dyDescent="0.25">
      <c r="B12" s="127"/>
      <c r="C12" s="12"/>
      <c r="D12" s="12"/>
      <c r="E12" s="12"/>
      <c r="F12" s="12"/>
      <c r="G12" s="12"/>
      <c r="H12" s="12"/>
      <c r="I12" s="12"/>
      <c r="J12" s="12"/>
    </row>
    <row r="13" spans="2:10" ht="22.5" customHeight="1" thickBot="1" x14ac:dyDescent="0.25">
      <c r="B13" s="129"/>
      <c r="C13" s="129"/>
      <c r="D13" s="130" t="s">
        <v>201</v>
      </c>
      <c r="E13" s="131" t="s">
        <v>202</v>
      </c>
      <c r="F13" s="131" t="s">
        <v>203</v>
      </c>
      <c r="G13" s="131" t="s">
        <v>204</v>
      </c>
      <c r="H13" s="131" t="s">
        <v>205</v>
      </c>
      <c r="I13" s="131" t="s">
        <v>256</v>
      </c>
      <c r="J13" s="12"/>
    </row>
    <row r="14" spans="2:10" ht="22.5" customHeight="1" thickBot="1" x14ac:dyDescent="0.25">
      <c r="B14" s="860" t="s">
        <v>218</v>
      </c>
      <c r="C14" s="861"/>
      <c r="D14" s="99" t="s">
        <v>319</v>
      </c>
      <c r="E14" s="99" t="s">
        <v>319</v>
      </c>
      <c r="F14" s="99" t="s">
        <v>319</v>
      </c>
      <c r="G14" s="99" t="s">
        <v>319</v>
      </c>
      <c r="H14" s="142" t="s">
        <v>320</v>
      </c>
      <c r="I14" s="142" t="s">
        <v>583</v>
      </c>
      <c r="J14" s="12"/>
    </row>
    <row r="15" spans="2:10" ht="22.5" customHeight="1" thickBot="1" x14ac:dyDescent="0.25">
      <c r="B15" s="860" t="s">
        <v>262</v>
      </c>
      <c r="C15" s="861"/>
      <c r="D15" s="99" t="s">
        <v>319</v>
      </c>
      <c r="E15" s="99" t="s">
        <v>321</v>
      </c>
      <c r="F15" s="99" t="s">
        <v>319</v>
      </c>
      <c r="G15" s="99" t="s">
        <v>319</v>
      </c>
      <c r="H15" s="124" t="s">
        <v>322</v>
      </c>
      <c r="I15" s="124" t="s">
        <v>583</v>
      </c>
      <c r="J15" s="12"/>
    </row>
    <row r="16" spans="2:10" ht="22.5" customHeight="1" thickBot="1" x14ac:dyDescent="0.25">
      <c r="B16" s="860" t="s">
        <v>221</v>
      </c>
      <c r="C16" s="861"/>
      <c r="D16" s="99" t="s">
        <v>319</v>
      </c>
      <c r="E16" s="99" t="s">
        <v>321</v>
      </c>
      <c r="F16" s="99" t="s">
        <v>319</v>
      </c>
      <c r="G16" s="99" t="s">
        <v>319</v>
      </c>
      <c r="H16" s="124" t="s">
        <v>320</v>
      </c>
      <c r="I16" s="124" t="s">
        <v>584</v>
      </c>
      <c r="J16" s="12"/>
    </row>
    <row r="17" spans="2:12" ht="22.5" customHeight="1" thickBot="1" x14ac:dyDescent="0.25">
      <c r="B17" s="860" t="s">
        <v>224</v>
      </c>
      <c r="C17" s="861"/>
      <c r="D17" s="99" t="s">
        <v>319</v>
      </c>
      <c r="E17" s="99" t="s">
        <v>319</v>
      </c>
      <c r="F17" s="99" t="s">
        <v>319</v>
      </c>
      <c r="G17" s="99" t="s">
        <v>319</v>
      </c>
      <c r="H17" s="124" t="s">
        <v>320</v>
      </c>
      <c r="I17" s="124" t="s">
        <v>584</v>
      </c>
      <c r="J17" s="12"/>
    </row>
    <row r="18" spans="2:12" ht="37.5" customHeight="1" thickBot="1" x14ac:dyDescent="0.25">
      <c r="B18" s="860" t="s">
        <v>225</v>
      </c>
      <c r="C18" s="861"/>
      <c r="D18" s="99" t="s">
        <v>319</v>
      </c>
      <c r="E18" s="99" t="s">
        <v>319</v>
      </c>
      <c r="F18" s="99" t="s">
        <v>319</v>
      </c>
      <c r="G18" s="99" t="s">
        <v>319</v>
      </c>
      <c r="H18" s="124" t="s">
        <v>322</v>
      </c>
      <c r="I18" s="124" t="s">
        <v>583</v>
      </c>
      <c r="J18" s="12"/>
    </row>
    <row r="19" spans="2:12" ht="22.5" customHeight="1" thickBot="1" x14ac:dyDescent="0.25">
      <c r="B19" s="860" t="s">
        <v>226</v>
      </c>
      <c r="C19" s="861"/>
      <c r="D19" s="99" t="s">
        <v>319</v>
      </c>
      <c r="E19" s="99" t="s">
        <v>321</v>
      </c>
      <c r="F19" s="99" t="s">
        <v>319</v>
      </c>
      <c r="G19" s="99" t="s">
        <v>319</v>
      </c>
      <c r="H19" s="124" t="s">
        <v>320</v>
      </c>
      <c r="I19" s="124" t="s">
        <v>584</v>
      </c>
      <c r="J19" s="12"/>
    </row>
    <row r="20" spans="2:12" ht="27" customHeight="1" thickBot="1" x14ac:dyDescent="0.25">
      <c r="B20" s="860" t="s">
        <v>227</v>
      </c>
      <c r="C20" s="861"/>
      <c r="D20" s="99" t="s">
        <v>319</v>
      </c>
      <c r="E20" s="99" t="s">
        <v>319</v>
      </c>
      <c r="F20" s="99" t="s">
        <v>319</v>
      </c>
      <c r="G20" s="99" t="s">
        <v>319</v>
      </c>
      <c r="H20" s="124" t="s">
        <v>320</v>
      </c>
      <c r="I20" s="124" t="s">
        <v>584</v>
      </c>
      <c r="J20" s="12"/>
    </row>
    <row r="21" spans="2:12" ht="22.5" customHeight="1" thickBot="1" x14ac:dyDescent="0.25">
      <c r="B21" s="860" t="s">
        <v>228</v>
      </c>
      <c r="C21" s="861"/>
      <c r="D21" s="99" t="s">
        <v>321</v>
      </c>
      <c r="E21" s="99" t="s">
        <v>319</v>
      </c>
      <c r="F21" s="99" t="s">
        <v>319</v>
      </c>
      <c r="G21" s="99" t="s">
        <v>319</v>
      </c>
      <c r="H21" s="124" t="s">
        <v>320</v>
      </c>
      <c r="I21" s="124" t="s">
        <v>584</v>
      </c>
      <c r="J21" s="12"/>
    </row>
    <row r="22" spans="2:12" ht="40.5" customHeight="1" thickBot="1" x14ac:dyDescent="0.25">
      <c r="B22" s="860" t="s">
        <v>241</v>
      </c>
      <c r="C22" s="861"/>
      <c r="D22" s="99" t="s">
        <v>319</v>
      </c>
      <c r="E22" s="99" t="s">
        <v>319</v>
      </c>
      <c r="F22" s="99" t="s">
        <v>319</v>
      </c>
      <c r="G22" s="99" t="s">
        <v>319</v>
      </c>
      <c r="H22" s="124" t="s">
        <v>322</v>
      </c>
      <c r="I22" s="124" t="s">
        <v>584</v>
      </c>
      <c r="J22" s="12"/>
    </row>
    <row r="23" spans="2:12" ht="27" customHeight="1" thickBot="1" x14ac:dyDescent="0.25">
      <c r="B23" s="860" t="s">
        <v>266</v>
      </c>
      <c r="C23" s="861"/>
      <c r="D23" s="99" t="s">
        <v>319</v>
      </c>
      <c r="E23" s="99" t="s">
        <v>319</v>
      </c>
      <c r="F23" s="99" t="s">
        <v>319</v>
      </c>
      <c r="G23" s="99" t="s">
        <v>319</v>
      </c>
      <c r="H23" s="124" t="s">
        <v>322</v>
      </c>
      <c r="I23" s="124" t="s">
        <v>584</v>
      </c>
      <c r="J23" s="12"/>
    </row>
    <row r="24" spans="2:12" ht="27" customHeight="1" thickBot="1" x14ac:dyDescent="0.25">
      <c r="B24" s="860" t="s">
        <v>252</v>
      </c>
      <c r="C24" s="861"/>
      <c r="D24" s="99" t="s">
        <v>319</v>
      </c>
      <c r="E24" s="99" t="s">
        <v>319</v>
      </c>
      <c r="F24" s="99" t="s">
        <v>319</v>
      </c>
      <c r="G24" s="99" t="s">
        <v>319</v>
      </c>
      <c r="H24" s="124" t="s">
        <v>320</v>
      </c>
      <c r="I24" s="124" t="s">
        <v>584</v>
      </c>
      <c r="J24" s="12"/>
    </row>
    <row r="25" spans="2:12" ht="27" customHeight="1" thickBot="1" x14ac:dyDescent="0.25">
      <c r="B25" s="860" t="s">
        <v>244</v>
      </c>
      <c r="C25" s="861"/>
      <c r="D25" s="99" t="s">
        <v>321</v>
      </c>
      <c r="E25" s="99" t="s">
        <v>319</v>
      </c>
      <c r="F25" s="99" t="s">
        <v>319</v>
      </c>
      <c r="G25" s="99" t="s">
        <v>321</v>
      </c>
      <c r="H25" s="124" t="s">
        <v>322</v>
      </c>
      <c r="I25" s="124" t="s">
        <v>584</v>
      </c>
      <c r="J25" s="12"/>
      <c r="L25" s="230" t="s">
        <v>470</v>
      </c>
    </row>
    <row r="26" spans="2:12" ht="40.5" customHeight="1" thickBot="1" x14ac:dyDescent="0.25">
      <c r="B26" s="860" t="s">
        <v>253</v>
      </c>
      <c r="C26" s="861"/>
      <c r="D26" s="99" t="s">
        <v>319</v>
      </c>
      <c r="E26" s="99" t="s">
        <v>319</v>
      </c>
      <c r="F26" s="99" t="s">
        <v>321</v>
      </c>
      <c r="G26" s="99" t="s">
        <v>319</v>
      </c>
      <c r="H26" s="124" t="s">
        <v>320</v>
      </c>
      <c r="I26" s="124" t="s">
        <v>584</v>
      </c>
      <c r="J26" s="12"/>
      <c r="L26" s="667" t="s">
        <v>155</v>
      </c>
    </row>
    <row r="27" spans="2:12" ht="27" customHeight="1" thickBot="1" x14ac:dyDescent="0.25">
      <c r="B27" s="860" t="s">
        <v>245</v>
      </c>
      <c r="C27" s="861"/>
      <c r="D27" s="99" t="s">
        <v>319</v>
      </c>
      <c r="E27" s="99" t="s">
        <v>319</v>
      </c>
      <c r="F27" s="99" t="s">
        <v>319</v>
      </c>
      <c r="G27" s="99" t="s">
        <v>319</v>
      </c>
      <c r="H27" s="124" t="s">
        <v>320</v>
      </c>
      <c r="I27" s="124" t="s">
        <v>584</v>
      </c>
      <c r="J27" s="12"/>
      <c r="L27" s="667"/>
    </row>
    <row r="28" spans="2:12" ht="40.5" customHeight="1" thickBot="1" x14ac:dyDescent="0.25">
      <c r="B28" s="860" t="s">
        <v>246</v>
      </c>
      <c r="C28" s="861"/>
      <c r="D28" s="99" t="s">
        <v>319</v>
      </c>
      <c r="E28" s="99" t="s">
        <v>319</v>
      </c>
      <c r="F28" s="99" t="s">
        <v>319</v>
      </c>
      <c r="G28" s="99" t="s">
        <v>319</v>
      </c>
      <c r="H28" s="124" t="s">
        <v>322</v>
      </c>
      <c r="I28" s="124" t="s">
        <v>584</v>
      </c>
      <c r="J28" s="12"/>
      <c r="L28" s="667"/>
    </row>
    <row r="29" spans="2:12" ht="27" customHeight="1" thickBot="1" x14ac:dyDescent="0.25">
      <c r="B29" s="860" t="s">
        <v>323</v>
      </c>
      <c r="C29" s="865"/>
      <c r="D29" s="333">
        <v>2</v>
      </c>
      <c r="E29" s="333">
        <v>3</v>
      </c>
      <c r="F29" s="333">
        <v>1</v>
      </c>
      <c r="G29" s="333">
        <v>1</v>
      </c>
      <c r="H29" s="334">
        <v>6</v>
      </c>
      <c r="I29" s="334">
        <f>COUNTIF(I14:I28,"Si")</f>
        <v>3</v>
      </c>
      <c r="L29" s="667"/>
    </row>
    <row r="30" spans="2:12" ht="40.5" customHeight="1" thickBot="1" x14ac:dyDescent="0.25">
      <c r="B30" s="866" t="s">
        <v>324</v>
      </c>
      <c r="C30" s="867"/>
      <c r="D30" s="335">
        <v>2</v>
      </c>
      <c r="E30" s="335">
        <v>3</v>
      </c>
      <c r="F30" s="335">
        <v>1</v>
      </c>
      <c r="G30" s="335">
        <v>1</v>
      </c>
      <c r="H30" s="338">
        <v>6</v>
      </c>
      <c r="I30" s="338">
        <v>3</v>
      </c>
      <c r="L30" s="667"/>
    </row>
    <row r="31" spans="2:12" ht="22.5" customHeight="1" thickBot="1" x14ac:dyDescent="0.25">
      <c r="B31" s="868" t="s">
        <v>208</v>
      </c>
      <c r="C31" s="869"/>
      <c r="D31" s="336">
        <f t="shared" ref="D31:I31" si="0">D29/D30</f>
        <v>1</v>
      </c>
      <c r="E31" s="336">
        <f t="shared" si="0"/>
        <v>1</v>
      </c>
      <c r="F31" s="336">
        <f t="shared" si="0"/>
        <v>1</v>
      </c>
      <c r="G31" s="336">
        <f t="shared" si="0"/>
        <v>1</v>
      </c>
      <c r="H31" s="336">
        <f t="shared" si="0"/>
        <v>1</v>
      </c>
      <c r="I31" s="336">
        <f t="shared" si="0"/>
        <v>1</v>
      </c>
    </row>
    <row r="32" spans="2:12" ht="22.5" customHeight="1" thickBot="1" x14ac:dyDescent="0.25">
      <c r="B32" s="858" t="s">
        <v>289</v>
      </c>
      <c r="C32" s="859"/>
      <c r="D32" s="337">
        <f t="shared" ref="D32:I32" si="1">$D$5</f>
        <v>1</v>
      </c>
      <c r="E32" s="337">
        <f t="shared" si="1"/>
        <v>1</v>
      </c>
      <c r="F32" s="337">
        <f t="shared" si="1"/>
        <v>1</v>
      </c>
      <c r="G32" s="337">
        <f t="shared" si="1"/>
        <v>1</v>
      </c>
      <c r="H32" s="337">
        <f t="shared" si="1"/>
        <v>1</v>
      </c>
      <c r="I32" s="337">
        <f t="shared" si="1"/>
        <v>1</v>
      </c>
    </row>
    <row r="33" spans="2:10" ht="22.5" customHeight="1" x14ac:dyDescent="0.2">
      <c r="B33" s="127"/>
      <c r="C33" s="12"/>
      <c r="D33" s="12"/>
      <c r="E33" s="12"/>
      <c r="F33" s="12"/>
      <c r="G33" s="12"/>
      <c r="H33" s="12"/>
    </row>
    <row r="34" spans="2:10" ht="22.5" customHeight="1" x14ac:dyDescent="0.2">
      <c r="B34" s="567" t="s">
        <v>469</v>
      </c>
      <c r="C34" s="568"/>
      <c r="D34" s="568"/>
      <c r="E34" s="569"/>
      <c r="F34" s="8"/>
    </row>
    <row r="46" spans="2:10" ht="19.5" customHeight="1" x14ac:dyDescent="0.2">
      <c r="H46" s="559" t="s">
        <v>155</v>
      </c>
      <c r="I46" s="560"/>
      <c r="J46" s="560"/>
    </row>
  </sheetData>
  <sheetProtection formatCells="0" formatColumns="0" formatRows="0" insertColumns="0" insertRows="0" insertHyperlinks="0" deleteColumns="0" deleteRows="0" pivotTables="0"/>
  <mergeCells count="49">
    <mergeCell ref="B8:C8"/>
    <mergeCell ref="D8:E8"/>
    <mergeCell ref="F8:G8"/>
    <mergeCell ref="H8:J8"/>
    <mergeCell ref="D9:E9"/>
    <mergeCell ref="F9:G9"/>
    <mergeCell ref="H9:J9"/>
    <mergeCell ref="B9:C9"/>
    <mergeCell ref="H46:J46"/>
    <mergeCell ref="B11:J11"/>
    <mergeCell ref="B15:C15"/>
    <mergeCell ref="B16:C16"/>
    <mergeCell ref="B17:C17"/>
    <mergeCell ref="B34:E34"/>
    <mergeCell ref="B14:C14"/>
    <mergeCell ref="B18:C18"/>
    <mergeCell ref="B19:C19"/>
    <mergeCell ref="B20:C20"/>
    <mergeCell ref="B21:C21"/>
    <mergeCell ref="B22:C22"/>
    <mergeCell ref="B28:C28"/>
    <mergeCell ref="B29:C29"/>
    <mergeCell ref="B30:C30"/>
    <mergeCell ref="B31:C31"/>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 ref="L26:L30"/>
    <mergeCell ref="B32:C32"/>
    <mergeCell ref="B23:C23"/>
    <mergeCell ref="B24:C24"/>
    <mergeCell ref="B25:C25"/>
    <mergeCell ref="B26:C26"/>
    <mergeCell ref="B27:C27"/>
  </mergeCells>
  <conditionalFormatting sqref="D14:I28">
    <cfRule type="containsText" dxfId="36" priority="1" operator="containsText" text="Si">
      <formula>NOT(ISERROR(SEARCH("Si",D14)))</formula>
    </cfRule>
  </conditionalFormatting>
  <pageMargins left="0.7" right="0.7" top="0.75" bottom="0.75" header="0" footer="0"/>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0BAA6-AF25-44F8-9DB3-5B3165CA8BF1}">
  <sheetPr>
    <tabColor theme="9" tint="-0.499984740745262"/>
    <pageSetUpPr fitToPage="1"/>
  </sheetPr>
  <dimension ref="B2:R48"/>
  <sheetViews>
    <sheetView showGridLines="0" workbookViewId="0">
      <selection activeCell="O4" sqref="O4"/>
    </sheetView>
  </sheetViews>
  <sheetFormatPr defaultColWidth="12.5703125" defaultRowHeight="15.75" customHeight="1" x14ac:dyDescent="0.2"/>
  <cols>
    <col min="1" max="1" width="3.42578125" customWidth="1"/>
    <col min="2" max="2" width="36" customWidth="1"/>
    <col min="3" max="3" width="17" customWidth="1"/>
    <col min="4" max="4" width="17.28515625" bestFit="1" customWidth="1"/>
    <col min="5" max="9" width="12.5703125" customWidth="1"/>
    <col min="10" max="10" width="14.42578125" bestFit="1" customWidth="1"/>
    <col min="11" max="11" width="8.85546875" customWidth="1"/>
    <col min="12" max="14" width="7.5703125" customWidth="1"/>
  </cols>
  <sheetData>
    <row r="2" spans="2:18" ht="55.5" customHeight="1" x14ac:dyDescent="0.2">
      <c r="B2" s="714"/>
      <c r="C2" s="715"/>
      <c r="D2" s="716"/>
      <c r="E2" s="717" t="s">
        <v>192</v>
      </c>
      <c r="F2" s="715"/>
      <c r="G2" s="715"/>
      <c r="H2" s="715"/>
      <c r="I2" s="715"/>
      <c r="J2" s="716"/>
    </row>
    <row r="3" spans="2:18" ht="22.5" customHeight="1" x14ac:dyDescent="0.2">
      <c r="B3" s="41"/>
      <c r="C3" s="41"/>
      <c r="D3" s="42"/>
      <c r="E3" s="42"/>
      <c r="F3" s="42"/>
      <c r="G3" s="42"/>
      <c r="H3" s="42"/>
      <c r="I3" s="42"/>
    </row>
    <row r="4" spans="2:18" ht="42" customHeight="1" x14ac:dyDescent="0.2">
      <c r="B4" s="567" t="s">
        <v>193</v>
      </c>
      <c r="C4" s="569"/>
      <c r="D4" s="718" t="str">
        <f>Índex!B34</f>
        <v xml:space="preserve">PC3.01_Ind01. </v>
      </c>
      <c r="E4" s="716"/>
      <c r="F4" s="567" t="s">
        <v>194</v>
      </c>
      <c r="G4" s="569"/>
      <c r="H4" s="718" t="str">
        <f>Índex!C34</f>
        <v xml:space="preserve">Ràtio de sol.licituds en 1a preferència per l'oferta </v>
      </c>
      <c r="I4" s="715"/>
      <c r="J4" s="716"/>
    </row>
    <row r="5" spans="2:18" ht="22.5" customHeight="1" x14ac:dyDescent="0.2">
      <c r="B5" s="567" t="s">
        <v>195</v>
      </c>
      <c r="C5" s="569"/>
      <c r="D5" s="875">
        <f>Índex!F34</f>
        <v>0.8</v>
      </c>
      <c r="E5" s="863"/>
      <c r="F5" s="567" t="s">
        <v>196</v>
      </c>
      <c r="G5" s="569"/>
      <c r="H5" s="718" t="s">
        <v>216</v>
      </c>
      <c r="I5" s="715"/>
      <c r="J5" s="716"/>
    </row>
    <row r="6" spans="2:18" ht="33.75" customHeight="1" x14ac:dyDescent="0.2">
      <c r="B6" s="567" t="s">
        <v>471</v>
      </c>
      <c r="C6" s="569"/>
      <c r="D6" s="718" t="str">
        <f>Índex!H34</f>
        <v>Objectiu de Qualitat. Qualitat dels programes formatius</v>
      </c>
      <c r="E6" s="716"/>
      <c r="F6" s="567" t="s">
        <v>462</v>
      </c>
      <c r="G6" s="569"/>
      <c r="H6" s="718"/>
      <c r="I6" s="715"/>
      <c r="J6" s="716"/>
    </row>
    <row r="7" spans="2:18" ht="22.5" customHeight="1" x14ac:dyDescent="0.2">
      <c r="B7" s="567" t="s">
        <v>463</v>
      </c>
      <c r="C7" s="569"/>
      <c r="D7" s="718"/>
      <c r="E7" s="716"/>
      <c r="F7" s="567" t="s">
        <v>464</v>
      </c>
      <c r="G7" s="569"/>
      <c r="H7" s="718" t="s">
        <v>198</v>
      </c>
      <c r="I7" s="715"/>
      <c r="J7" s="716"/>
    </row>
    <row r="8" spans="2:18" ht="34.5" customHeight="1" x14ac:dyDescent="0.2">
      <c r="B8" s="567" t="s">
        <v>465</v>
      </c>
      <c r="C8" s="569"/>
      <c r="D8" s="718" t="str">
        <f>Índex!D34</f>
        <v xml:space="preserve"> Vicedegana d'Afers Acadèmics de Grau</v>
      </c>
      <c r="E8" s="716"/>
      <c r="F8" s="567" t="s">
        <v>472</v>
      </c>
      <c r="G8" s="569"/>
      <c r="H8" s="718" t="str">
        <f>Índex!E34</f>
        <v xml:space="preserve">Gestor Acadèmic </v>
      </c>
      <c r="I8" s="715"/>
      <c r="J8" s="716"/>
    </row>
    <row r="9" spans="2:18" ht="28.5" customHeight="1" x14ac:dyDescent="0.2">
      <c r="B9" s="567" t="s">
        <v>461</v>
      </c>
      <c r="C9" s="569"/>
      <c r="D9" s="718" t="str">
        <f>Índex!G34</f>
        <v>PC3.01. Accés a Estudis i Perfils d’Ingrés</v>
      </c>
      <c r="E9" s="716"/>
      <c r="F9" s="567" t="s">
        <v>467</v>
      </c>
      <c r="G9" s="569"/>
      <c r="H9" s="718" t="s">
        <v>503</v>
      </c>
      <c r="I9" s="715"/>
      <c r="J9" s="716"/>
    </row>
    <row r="10" spans="2:18" ht="12.75" customHeight="1" x14ac:dyDescent="0.2"/>
    <row r="11" spans="2:18" ht="22.5" customHeight="1" x14ac:dyDescent="0.2">
      <c r="B11" s="567" t="s">
        <v>468</v>
      </c>
      <c r="C11" s="568"/>
      <c r="D11" s="568"/>
      <c r="E11" s="568"/>
      <c r="F11" s="568"/>
      <c r="G11" s="568"/>
      <c r="H11" s="568"/>
      <c r="I11" s="568"/>
      <c r="J11" s="569"/>
      <c r="O11" s="827" t="s">
        <v>470</v>
      </c>
      <c r="P11" s="827"/>
      <c r="Q11" s="827"/>
      <c r="R11" s="827"/>
    </row>
    <row r="12" spans="2:18" ht="22.5" customHeight="1" x14ac:dyDescent="0.2">
      <c r="B12" s="13"/>
      <c r="C12" s="12"/>
      <c r="D12" s="12"/>
      <c r="E12" s="12"/>
      <c r="F12" s="12"/>
      <c r="G12" s="12"/>
      <c r="H12" s="12"/>
      <c r="I12" s="12"/>
      <c r="J12" s="12"/>
      <c r="O12" s="872" t="s">
        <v>155</v>
      </c>
      <c r="P12" s="872"/>
      <c r="Q12" s="872"/>
      <c r="R12" s="872"/>
    </row>
    <row r="13" spans="2:18" ht="22.5" customHeight="1" x14ac:dyDescent="0.2">
      <c r="B13" s="133" t="s">
        <v>325</v>
      </c>
      <c r="C13" s="133" t="s">
        <v>326</v>
      </c>
      <c r="D13" s="197" t="s">
        <v>203</v>
      </c>
      <c r="E13" s="198" t="s">
        <v>204</v>
      </c>
      <c r="F13" s="198" t="s">
        <v>205</v>
      </c>
      <c r="G13" s="198" t="s">
        <v>256</v>
      </c>
      <c r="H13" s="132"/>
      <c r="I13" s="132"/>
      <c r="J13" s="132"/>
      <c r="O13" s="872"/>
      <c r="P13" s="872"/>
      <c r="Q13" s="872"/>
      <c r="R13" s="872"/>
    </row>
    <row r="14" spans="2:18" ht="22.5" customHeight="1" x14ac:dyDescent="0.2">
      <c r="B14" s="339" t="s">
        <v>327</v>
      </c>
      <c r="C14" s="342" t="s">
        <v>328</v>
      </c>
      <c r="D14" s="342" t="s">
        <v>328</v>
      </c>
      <c r="E14" s="342" t="s">
        <v>328</v>
      </c>
      <c r="F14" s="342" t="s">
        <v>328</v>
      </c>
      <c r="G14" s="342" t="s">
        <v>328</v>
      </c>
      <c r="H14" s="135"/>
      <c r="I14" s="135"/>
      <c r="J14" s="135"/>
      <c r="O14" s="872"/>
      <c r="P14" s="872"/>
      <c r="Q14" s="872"/>
      <c r="R14" s="872"/>
    </row>
    <row r="15" spans="2:18" ht="33" customHeight="1" x14ac:dyDescent="0.2">
      <c r="B15" s="340" t="s">
        <v>218</v>
      </c>
      <c r="C15" s="342">
        <v>1</v>
      </c>
      <c r="D15" s="342">
        <v>0.9</v>
      </c>
      <c r="E15" s="342">
        <v>0.8</v>
      </c>
      <c r="F15" s="342">
        <v>0.5</v>
      </c>
      <c r="G15" s="342">
        <v>0.9</v>
      </c>
      <c r="H15" s="135"/>
      <c r="I15" s="135"/>
      <c r="J15" s="135"/>
      <c r="O15" s="872"/>
      <c r="P15" s="872"/>
      <c r="Q15" s="872"/>
      <c r="R15" s="872"/>
    </row>
    <row r="16" spans="2:18" ht="33" customHeight="1" x14ac:dyDescent="0.2">
      <c r="B16" s="340" t="s">
        <v>235</v>
      </c>
      <c r="C16" s="342">
        <v>1</v>
      </c>
      <c r="D16" s="342">
        <v>1.2</v>
      </c>
      <c r="E16" s="342">
        <v>0.8</v>
      </c>
      <c r="F16" s="342">
        <v>1.3</v>
      </c>
      <c r="G16" s="342">
        <v>0.9</v>
      </c>
      <c r="H16" s="135"/>
      <c r="I16" s="135"/>
      <c r="J16" s="135"/>
      <c r="O16" s="872"/>
      <c r="P16" s="872"/>
      <c r="Q16" s="872"/>
      <c r="R16" s="872"/>
    </row>
    <row r="17" spans="2:18" ht="33" customHeight="1" x14ac:dyDescent="0.2">
      <c r="B17" s="340" t="s">
        <v>220</v>
      </c>
      <c r="C17" s="342">
        <v>0.8</v>
      </c>
      <c r="D17" s="342">
        <v>1.6</v>
      </c>
      <c r="E17" s="342">
        <v>1.1000000000000001</v>
      </c>
      <c r="F17" s="342">
        <v>1.1000000000000001</v>
      </c>
      <c r="G17" s="342">
        <v>1.3</v>
      </c>
      <c r="H17" s="135"/>
      <c r="I17" s="135"/>
      <c r="J17" s="135"/>
      <c r="O17" s="872"/>
      <c r="P17" s="872"/>
      <c r="Q17" s="872"/>
      <c r="R17" s="872"/>
    </row>
    <row r="18" spans="2:18" ht="22.5" customHeight="1" x14ac:dyDescent="0.2">
      <c r="B18" s="340" t="s">
        <v>221</v>
      </c>
      <c r="C18" s="342">
        <v>2.1</v>
      </c>
      <c r="D18" s="342">
        <v>2.4</v>
      </c>
      <c r="E18" s="342">
        <v>2.2000000000000002</v>
      </c>
      <c r="F18" s="342">
        <v>2.2999999999999998</v>
      </c>
      <c r="G18" s="342">
        <v>1.8</v>
      </c>
      <c r="H18" s="135"/>
      <c r="I18" s="136"/>
      <c r="J18" s="136"/>
      <c r="O18" s="872"/>
      <c r="P18" s="872"/>
      <c r="Q18" s="872"/>
      <c r="R18" s="872"/>
    </row>
    <row r="19" spans="2:18" ht="22.5" customHeight="1" x14ac:dyDescent="0.2">
      <c r="B19" s="340" t="s">
        <v>294</v>
      </c>
      <c r="C19" s="342">
        <v>4</v>
      </c>
      <c r="D19" s="342">
        <v>5</v>
      </c>
      <c r="E19" s="342">
        <v>5.2</v>
      </c>
      <c r="F19" s="342">
        <v>3.6</v>
      </c>
      <c r="G19" s="342">
        <v>3.5</v>
      </c>
      <c r="H19" s="135"/>
      <c r="I19" s="136"/>
      <c r="J19" s="136"/>
      <c r="O19" s="872"/>
      <c r="P19" s="872"/>
      <c r="Q19" s="872"/>
      <c r="R19" s="872"/>
    </row>
    <row r="20" spans="2:18" ht="22.5" customHeight="1" x14ac:dyDescent="0.2">
      <c r="B20" s="340" t="s">
        <v>295</v>
      </c>
      <c r="C20" s="342">
        <v>1.9</v>
      </c>
      <c r="D20" s="342">
        <v>1.9</v>
      </c>
      <c r="E20" s="342">
        <v>2</v>
      </c>
      <c r="F20" s="342">
        <v>1.5</v>
      </c>
      <c r="G20" s="342">
        <v>1.4</v>
      </c>
      <c r="H20" s="135"/>
      <c r="I20" s="136"/>
      <c r="J20" s="136"/>
      <c r="O20" s="872"/>
      <c r="P20" s="872"/>
      <c r="Q20" s="872"/>
      <c r="R20" s="872"/>
    </row>
    <row r="21" spans="2:18" ht="22.5" customHeight="1" x14ac:dyDescent="0.2">
      <c r="B21" s="340" t="s">
        <v>224</v>
      </c>
      <c r="C21" s="342">
        <v>0.4</v>
      </c>
      <c r="D21" s="342">
        <v>0.5</v>
      </c>
      <c r="E21" s="342">
        <v>0.5</v>
      </c>
      <c r="F21" s="342">
        <v>0.4</v>
      </c>
      <c r="G21" s="342">
        <v>0.7</v>
      </c>
      <c r="H21" s="135"/>
      <c r="I21" s="136"/>
      <c r="J21" s="136"/>
      <c r="O21" s="872"/>
      <c r="P21" s="872"/>
      <c r="Q21" s="872"/>
      <c r="R21" s="872"/>
    </row>
    <row r="22" spans="2:18" ht="33.75" customHeight="1" x14ac:dyDescent="0.2">
      <c r="B22" s="340" t="s">
        <v>225</v>
      </c>
      <c r="C22" s="342">
        <v>1.3</v>
      </c>
      <c r="D22" s="342">
        <v>1.4</v>
      </c>
      <c r="E22" s="342">
        <v>1.3</v>
      </c>
      <c r="F22" s="342">
        <v>0.9</v>
      </c>
      <c r="G22" s="342">
        <v>1</v>
      </c>
      <c r="H22" s="135"/>
      <c r="I22" s="136"/>
      <c r="J22" s="136"/>
    </row>
    <row r="23" spans="2:18" ht="28.5" customHeight="1" x14ac:dyDescent="0.2">
      <c r="B23" s="340" t="s">
        <v>226</v>
      </c>
      <c r="C23" s="342">
        <v>1.2</v>
      </c>
      <c r="D23" s="342">
        <v>2</v>
      </c>
      <c r="E23" s="342">
        <v>1.7</v>
      </c>
      <c r="F23" s="342">
        <v>1.4</v>
      </c>
      <c r="G23" s="342">
        <v>1.3</v>
      </c>
      <c r="H23" s="135"/>
      <c r="I23" s="136"/>
      <c r="J23" s="136"/>
    </row>
    <row r="24" spans="2:18" ht="22.5" customHeight="1" x14ac:dyDescent="0.2">
      <c r="B24" s="340" t="s">
        <v>227</v>
      </c>
      <c r="C24" s="342">
        <v>1.1000000000000001</v>
      </c>
      <c r="D24" s="342">
        <v>1.1000000000000001</v>
      </c>
      <c r="E24" s="342">
        <v>1.2</v>
      </c>
      <c r="F24" s="342">
        <v>1.2</v>
      </c>
      <c r="G24" s="342">
        <v>1</v>
      </c>
      <c r="H24" s="135"/>
      <c r="I24" s="136"/>
      <c r="J24" s="136"/>
    </row>
    <row r="25" spans="2:18" ht="22.5" customHeight="1" x14ac:dyDescent="0.2">
      <c r="B25" s="340" t="s">
        <v>228</v>
      </c>
      <c r="C25" s="342">
        <v>1.1000000000000001</v>
      </c>
      <c r="D25" s="342">
        <v>0.9</v>
      </c>
      <c r="E25" s="342">
        <v>1.1000000000000001</v>
      </c>
      <c r="F25" s="342">
        <v>1</v>
      </c>
      <c r="G25" s="342">
        <v>0.9</v>
      </c>
      <c r="H25" s="135"/>
      <c r="I25" s="136"/>
      <c r="J25" s="136"/>
    </row>
    <row r="26" spans="2:18" ht="22.5" customHeight="1" x14ac:dyDescent="0.2">
      <c r="B26" s="341" t="s">
        <v>207</v>
      </c>
      <c r="C26" s="343">
        <v>0.8</v>
      </c>
      <c r="D26" s="343">
        <v>0.8</v>
      </c>
      <c r="E26" s="343">
        <v>0.8</v>
      </c>
      <c r="F26" s="343">
        <v>0.8</v>
      </c>
      <c r="G26" s="343">
        <v>0.8</v>
      </c>
    </row>
    <row r="27" spans="2:18" ht="22.5" customHeight="1" x14ac:dyDescent="0.2">
      <c r="B27" s="340" t="s">
        <v>329</v>
      </c>
      <c r="C27" s="344">
        <f>COUNT(C15:C25)</f>
        <v>11</v>
      </c>
      <c r="D27" s="344">
        <f>COUNT(D15:D25)</f>
        <v>11</v>
      </c>
      <c r="E27" s="344">
        <f>COUNT(E15:E25)</f>
        <v>11</v>
      </c>
      <c r="F27" s="344">
        <f>COUNT(F15:F25)</f>
        <v>11</v>
      </c>
      <c r="G27" s="344">
        <f>COUNT(G15:G25)</f>
        <v>11</v>
      </c>
    </row>
    <row r="28" spans="2:18" ht="22.5" customHeight="1" x14ac:dyDescent="0.2">
      <c r="B28" s="340" t="s">
        <v>330</v>
      </c>
      <c r="C28" s="344">
        <f>COUNTIF(C15:C25,"&gt;="&amp;C26)</f>
        <v>10</v>
      </c>
      <c r="D28" s="344">
        <f>COUNTIF(D15:D25,"&gt;="&amp;D26)</f>
        <v>10</v>
      </c>
      <c r="E28" s="344">
        <f>COUNTIF(E15:E25,"&gt;="&amp;E26)</f>
        <v>10</v>
      </c>
      <c r="F28" s="344">
        <f>COUNTIF(F15:F25,"&gt;="&amp;F26)</f>
        <v>9</v>
      </c>
      <c r="G28" s="344">
        <f>COUNTIF(G15:G25,"&gt;="&amp;G26)</f>
        <v>10</v>
      </c>
    </row>
    <row r="29" spans="2:18" ht="22.5" customHeight="1" x14ac:dyDescent="0.2">
      <c r="B29" s="341" t="s">
        <v>215</v>
      </c>
      <c r="C29" s="345">
        <f>C28/C27</f>
        <v>0.90909090909090906</v>
      </c>
      <c r="D29" s="345">
        <f>D28/D27</f>
        <v>0.90909090909090906</v>
      </c>
      <c r="E29" s="345">
        <f>E28/E27</f>
        <v>0.90909090909090906</v>
      </c>
      <c r="F29" s="345">
        <f>F28/F27</f>
        <v>0.81818181818181823</v>
      </c>
      <c r="G29" s="345">
        <f>G28/G27</f>
        <v>0.90909090909090906</v>
      </c>
    </row>
    <row r="30" spans="2:18" ht="22.5" customHeight="1" x14ac:dyDescent="0.2">
      <c r="B30" s="873"/>
      <c r="C30" s="873"/>
      <c r="D30" s="12"/>
      <c r="E30" s="12"/>
      <c r="F30" s="12"/>
      <c r="G30" s="12"/>
    </row>
    <row r="31" spans="2:18" ht="22.5" customHeight="1" x14ac:dyDescent="0.2">
      <c r="B31" s="567" t="s">
        <v>469</v>
      </c>
      <c r="C31" s="568"/>
      <c r="D31" s="568"/>
      <c r="E31" s="569"/>
      <c r="F31" s="12"/>
      <c r="G31" s="12"/>
    </row>
    <row r="32" spans="2:18" ht="22.5" customHeight="1" x14ac:dyDescent="0.2">
      <c r="B32" s="873"/>
      <c r="C32" s="873"/>
      <c r="D32" s="12"/>
      <c r="E32" s="12"/>
      <c r="F32" s="12"/>
      <c r="G32" s="12"/>
    </row>
    <row r="33" spans="2:10" ht="22.5" customHeight="1" x14ac:dyDescent="0.2">
      <c r="B33" s="873"/>
      <c r="C33" s="873"/>
      <c r="D33" s="12"/>
      <c r="E33" s="12"/>
      <c r="F33" s="12"/>
      <c r="G33" s="12"/>
    </row>
    <row r="34" spans="2:10" ht="22.5" customHeight="1" x14ac:dyDescent="0.2">
      <c r="B34" s="873"/>
      <c r="C34" s="873"/>
      <c r="D34" s="12"/>
      <c r="E34" s="12"/>
      <c r="F34" s="12"/>
      <c r="G34" s="12"/>
    </row>
    <row r="35" spans="2:10" ht="22.5" customHeight="1" x14ac:dyDescent="0.25">
      <c r="B35" s="874"/>
      <c r="C35" s="874"/>
      <c r="D35" s="6"/>
      <c r="E35" s="6"/>
      <c r="F35" s="6"/>
      <c r="G35" s="6"/>
      <c r="H35" s="6"/>
      <c r="I35" s="6"/>
      <c r="J35" s="6"/>
    </row>
    <row r="36" spans="2:10" ht="22.5" customHeight="1" x14ac:dyDescent="0.2">
      <c r="B36" s="819" t="s">
        <v>292</v>
      </c>
      <c r="C36" s="820"/>
      <c r="D36" s="820"/>
      <c r="E36" s="820"/>
      <c r="F36" s="8"/>
    </row>
    <row r="37" spans="2:10" ht="22.5" customHeight="1" x14ac:dyDescent="0.2">
      <c r="B37" s="8"/>
      <c r="C37" s="8"/>
      <c r="D37" s="8"/>
      <c r="E37" s="8"/>
      <c r="F37" s="8"/>
    </row>
    <row r="38" spans="2:10" ht="6" customHeight="1" x14ac:dyDescent="0.2">
      <c r="B38" s="8"/>
      <c r="C38" s="8"/>
      <c r="D38" s="8"/>
      <c r="E38" s="8"/>
      <c r="F38" s="8"/>
    </row>
    <row r="39" spans="2:10" ht="19.5" customHeight="1" x14ac:dyDescent="0.2">
      <c r="B39" s="8"/>
      <c r="C39" s="8"/>
      <c r="D39" s="8"/>
      <c r="E39" s="8"/>
      <c r="F39" s="8"/>
    </row>
    <row r="40" spans="2:10" ht="19.5" customHeight="1" x14ac:dyDescent="0.2">
      <c r="B40" s="8"/>
      <c r="C40" s="8"/>
      <c r="D40" s="8"/>
      <c r="E40" s="8"/>
      <c r="F40" s="8"/>
    </row>
    <row r="41" spans="2:10" ht="19.5" customHeight="1" x14ac:dyDescent="0.2">
      <c r="B41" s="8"/>
      <c r="C41" s="8"/>
      <c r="D41" s="8"/>
      <c r="E41" s="8"/>
      <c r="F41" s="8"/>
    </row>
    <row r="42" spans="2:10" ht="19.5" customHeight="1" x14ac:dyDescent="0.2">
      <c r="B42" s="8"/>
      <c r="C42" s="8"/>
      <c r="D42" s="8"/>
      <c r="E42" s="8"/>
      <c r="F42" s="8"/>
    </row>
    <row r="43" spans="2:10" ht="19.5" customHeight="1" x14ac:dyDescent="0.2">
      <c r="B43" s="8"/>
      <c r="C43" s="8"/>
      <c r="D43" s="8"/>
      <c r="E43" s="8"/>
      <c r="F43" s="8"/>
    </row>
    <row r="44" spans="2:10" ht="19.5" customHeight="1" x14ac:dyDescent="0.2">
      <c r="B44" s="8"/>
      <c r="C44" s="8"/>
      <c r="D44" s="8"/>
      <c r="E44" s="8"/>
      <c r="F44" s="8"/>
    </row>
    <row r="45" spans="2:10" ht="19.5" customHeight="1" x14ac:dyDescent="0.2">
      <c r="B45" s="8"/>
      <c r="C45" s="8"/>
      <c r="D45" s="8"/>
      <c r="E45" s="8"/>
      <c r="F45" s="8"/>
    </row>
    <row r="46" spans="2:10" ht="19.5" customHeight="1" x14ac:dyDescent="0.2">
      <c r="B46" s="8"/>
      <c r="C46" s="8"/>
      <c r="D46" s="8"/>
      <c r="E46" s="8"/>
      <c r="F46" s="8"/>
    </row>
    <row r="47" spans="2:10" ht="19.5" customHeight="1" x14ac:dyDescent="0.2"/>
    <row r="48" spans="2:10" ht="19.5" customHeight="1" x14ac:dyDescent="0.2">
      <c r="H48" s="559" t="s">
        <v>155</v>
      </c>
      <c r="I48" s="560"/>
      <c r="J48" s="560"/>
    </row>
  </sheetData>
  <sheetProtection formatCells="0" formatColumns="0" formatRows="0" insertColumns="0" insertRows="0" insertHyperlinks="0" deleteColumns="0" deleteRows="0" pivotTables="0"/>
  <mergeCells count="37">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O11:R11"/>
    <mergeCell ref="O12:R21"/>
    <mergeCell ref="B30:C30"/>
    <mergeCell ref="H48:J48"/>
    <mergeCell ref="B11:J11"/>
    <mergeCell ref="B36:E36"/>
    <mergeCell ref="B32:C32"/>
    <mergeCell ref="B33:C33"/>
    <mergeCell ref="B34:C34"/>
    <mergeCell ref="B35:C35"/>
    <mergeCell ref="B31:E31"/>
    <mergeCell ref="B8:C8"/>
    <mergeCell ref="D8:E8"/>
    <mergeCell ref="F8:G8"/>
    <mergeCell ref="H8:J8"/>
    <mergeCell ref="D9:E9"/>
    <mergeCell ref="F9:G9"/>
    <mergeCell ref="H9:J9"/>
    <mergeCell ref="B9:C9"/>
  </mergeCells>
  <phoneticPr fontId="25" type="noConversion"/>
  <conditionalFormatting sqref="C15:G25">
    <cfRule type="cellIs" dxfId="35" priority="1" operator="lessThan">
      <formula>0.8</formula>
    </cfRule>
  </conditionalFormatting>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pageSetUpPr fitToPage="1"/>
  </sheetPr>
  <dimension ref="B2:N30"/>
  <sheetViews>
    <sheetView showGridLines="0" workbookViewId="0">
      <selection activeCell="B2" sqref="B2:D2"/>
    </sheetView>
  </sheetViews>
  <sheetFormatPr defaultColWidth="12.5703125" defaultRowHeight="15.75" customHeight="1" x14ac:dyDescent="0.2"/>
  <cols>
    <col min="1" max="1" width="3.42578125" customWidth="1"/>
    <col min="2" max="2" width="14.140625" customWidth="1"/>
    <col min="3" max="3" width="22.140625" customWidth="1"/>
    <col min="4" max="6" width="12.5703125" customWidth="1"/>
    <col min="7" max="7" width="14.85546875" customWidth="1"/>
    <col min="8" max="9" width="12.5703125" customWidth="1"/>
    <col min="10" max="10" width="17.42578125" bestFit="1" customWidth="1"/>
    <col min="11" max="13" width="8.85546875" customWidth="1"/>
    <col min="14" max="23" width="7.5703125" customWidth="1"/>
  </cols>
  <sheetData>
    <row r="2" spans="2:13" ht="55.5" customHeight="1" x14ac:dyDescent="0.25">
      <c r="B2" s="588"/>
      <c r="C2" s="589"/>
      <c r="D2" s="565"/>
      <c r="E2" s="590" t="s">
        <v>192</v>
      </c>
      <c r="F2" s="589"/>
      <c r="G2" s="589"/>
      <c r="H2" s="589"/>
      <c r="I2" s="589"/>
      <c r="J2" s="565"/>
      <c r="K2" s="3"/>
      <c r="L2" s="3"/>
      <c r="M2" s="3"/>
    </row>
    <row r="3" spans="2:13" ht="22.5" customHeight="1" x14ac:dyDescent="0.25">
      <c r="B3" s="177"/>
      <c r="C3" s="177"/>
      <c r="D3" s="178"/>
      <c r="E3" s="178"/>
      <c r="F3" s="178"/>
      <c r="G3" s="178"/>
      <c r="H3" s="178"/>
      <c r="I3" s="178"/>
      <c r="J3" s="175"/>
    </row>
    <row r="4" spans="2:13" ht="42.75" customHeight="1" x14ac:dyDescent="0.25">
      <c r="B4" s="561" t="s">
        <v>193</v>
      </c>
      <c r="C4" s="563"/>
      <c r="D4" s="587" t="str">
        <f>Índex!B8</f>
        <v>PE1.01_Ind02.</v>
      </c>
      <c r="E4" s="565"/>
      <c r="F4" s="561" t="s">
        <v>194</v>
      </c>
      <c r="G4" s="563"/>
      <c r="H4" s="595" t="str">
        <f>Índex!C8</f>
        <v>Percentatge de propostes de millora implementades, per curs acadèmic</v>
      </c>
      <c r="I4" s="596"/>
      <c r="J4" s="597"/>
    </row>
    <row r="5" spans="2:13" ht="22.5" customHeight="1" x14ac:dyDescent="0.25">
      <c r="B5" s="561" t="s">
        <v>211</v>
      </c>
      <c r="C5" s="563"/>
      <c r="D5" s="598">
        <f>Índex!F8</f>
        <v>0.8</v>
      </c>
      <c r="E5" s="591"/>
      <c r="F5" s="585" t="s">
        <v>196</v>
      </c>
      <c r="G5" s="563"/>
      <c r="H5" s="595" t="s">
        <v>197</v>
      </c>
      <c r="I5" s="596"/>
      <c r="J5" s="597"/>
    </row>
    <row r="6" spans="2:13" ht="36" customHeight="1" x14ac:dyDescent="0.2">
      <c r="B6" s="561" t="s">
        <v>471</v>
      </c>
      <c r="C6" s="582"/>
      <c r="D6" s="598" t="str">
        <f>Índex!H8</f>
        <v>Objectiu de Qualitat. Millora Contínua</v>
      </c>
      <c r="E6" s="605"/>
      <c r="F6" s="585" t="s">
        <v>462</v>
      </c>
      <c r="G6" s="606"/>
      <c r="H6" s="607"/>
      <c r="I6" s="608"/>
      <c r="J6" s="609"/>
    </row>
    <row r="7" spans="2:13" ht="22.5" customHeight="1" x14ac:dyDescent="0.25">
      <c r="B7" s="561" t="s">
        <v>463</v>
      </c>
      <c r="C7" s="563"/>
      <c r="D7" s="599"/>
      <c r="E7" s="600"/>
      <c r="F7" s="601" t="s">
        <v>464</v>
      </c>
      <c r="G7" s="602"/>
      <c r="H7" s="603" t="s">
        <v>198</v>
      </c>
      <c r="I7" s="604"/>
      <c r="J7" s="600"/>
    </row>
    <row r="8" spans="2:13" ht="22.5" customHeight="1" x14ac:dyDescent="0.25">
      <c r="B8" s="561" t="s">
        <v>465</v>
      </c>
      <c r="C8" s="610"/>
      <c r="D8" s="611" t="str">
        <f>Índex!D8</f>
        <v>Degà</v>
      </c>
      <c r="E8" s="611"/>
      <c r="F8" s="613" t="s">
        <v>472</v>
      </c>
      <c r="G8" s="613"/>
      <c r="H8" s="612" t="str">
        <f>Índex!E8</f>
        <v>Gestora de Qualitat</v>
      </c>
      <c r="I8" s="612"/>
      <c r="J8" s="612"/>
    </row>
    <row r="9" spans="2:13" ht="28.5" customHeight="1" x14ac:dyDescent="0.25">
      <c r="B9" s="561" t="s">
        <v>461</v>
      </c>
      <c r="C9" s="562"/>
      <c r="D9" s="611" t="str">
        <f>Índex!G8</f>
        <v xml:space="preserve"> PE1.01. Definició de la Política de Qualitat</v>
      </c>
      <c r="E9" s="611"/>
      <c r="F9" s="613" t="s">
        <v>467</v>
      </c>
      <c r="G9" s="613"/>
      <c r="H9" s="612"/>
      <c r="I9" s="612"/>
      <c r="J9" s="612"/>
      <c r="K9" s="4"/>
    </row>
    <row r="10" spans="2:13" ht="7.5" customHeight="1" x14ac:dyDescent="0.25">
      <c r="B10" s="175"/>
      <c r="C10" s="175"/>
      <c r="D10" s="175"/>
      <c r="E10" s="175"/>
      <c r="F10" s="175"/>
      <c r="G10" s="175"/>
      <c r="H10" s="175"/>
      <c r="I10" s="175"/>
      <c r="J10" s="175"/>
    </row>
    <row r="11" spans="2:13" ht="22.5" customHeight="1" x14ac:dyDescent="0.25">
      <c r="B11" s="561" t="s">
        <v>468</v>
      </c>
      <c r="C11" s="562"/>
      <c r="D11" s="562"/>
      <c r="E11" s="562"/>
      <c r="F11" s="562"/>
      <c r="G11" s="562"/>
      <c r="H11" s="562"/>
      <c r="I11" s="562"/>
      <c r="J11" s="563"/>
      <c r="K11" s="5"/>
    </row>
    <row r="12" spans="2:13" ht="22.5" customHeight="1" x14ac:dyDescent="0.25">
      <c r="B12" s="179"/>
      <c r="C12" s="179"/>
      <c r="D12" s="179"/>
      <c r="E12" s="179"/>
      <c r="F12" s="179"/>
      <c r="G12" s="179"/>
      <c r="H12" s="179"/>
      <c r="I12" s="179"/>
      <c r="J12" s="179"/>
    </row>
    <row r="13" spans="2:13" ht="22.5" customHeight="1" x14ac:dyDescent="0.25">
      <c r="B13" s="179"/>
      <c r="C13" s="179"/>
      <c r="D13" s="180" t="s">
        <v>200</v>
      </c>
      <c r="E13" s="180" t="s">
        <v>201</v>
      </c>
      <c r="F13" s="180" t="s">
        <v>202</v>
      </c>
      <c r="G13" s="180" t="s">
        <v>203</v>
      </c>
      <c r="H13" s="180" t="s">
        <v>204</v>
      </c>
      <c r="I13" s="180" t="s">
        <v>205</v>
      </c>
      <c r="J13" s="180" t="s">
        <v>256</v>
      </c>
    </row>
    <row r="14" spans="2:13" ht="23.25" customHeight="1" x14ac:dyDescent="0.25">
      <c r="B14" s="564" t="s">
        <v>206</v>
      </c>
      <c r="C14" s="565"/>
      <c r="D14" s="182">
        <v>0.41830000000000001</v>
      </c>
      <c r="E14" s="181">
        <v>0.11</v>
      </c>
      <c r="F14" s="182">
        <v>0.87629999999999997</v>
      </c>
      <c r="G14" s="183">
        <v>0.8</v>
      </c>
      <c r="H14" s="183">
        <v>0.94020000000000004</v>
      </c>
      <c r="I14" s="183">
        <v>0.26</v>
      </c>
      <c r="J14" s="183">
        <v>0.55310000000000004</v>
      </c>
    </row>
    <row r="15" spans="2:13" ht="22.5" customHeight="1" x14ac:dyDescent="0.25">
      <c r="B15" s="566" t="s">
        <v>207</v>
      </c>
      <c r="C15" s="565"/>
      <c r="D15" s="181">
        <f t="shared" ref="D15:I15" si="0">$D$5</f>
        <v>0.8</v>
      </c>
      <c r="E15" s="181">
        <f t="shared" si="0"/>
        <v>0.8</v>
      </c>
      <c r="F15" s="181">
        <f t="shared" si="0"/>
        <v>0.8</v>
      </c>
      <c r="G15" s="181">
        <f t="shared" si="0"/>
        <v>0.8</v>
      </c>
      <c r="H15" s="181">
        <f t="shared" si="0"/>
        <v>0.8</v>
      </c>
      <c r="I15" s="181">
        <f t="shared" si="0"/>
        <v>0.8</v>
      </c>
      <c r="J15" s="181">
        <f>$D$5</f>
        <v>0.8</v>
      </c>
    </row>
    <row r="16" spans="2:13" ht="22.5" customHeight="1" x14ac:dyDescent="0.25">
      <c r="B16" s="566" t="s">
        <v>208</v>
      </c>
      <c r="C16" s="565"/>
      <c r="D16" s="182">
        <f t="shared" ref="D16:J16" si="1">D14/D15</f>
        <v>0.52287499999999998</v>
      </c>
      <c r="E16" s="182">
        <f t="shared" si="1"/>
        <v>0.13749999999999998</v>
      </c>
      <c r="F16" s="182">
        <f t="shared" si="1"/>
        <v>1.095375</v>
      </c>
      <c r="G16" s="183">
        <f t="shared" si="1"/>
        <v>1</v>
      </c>
      <c r="H16" s="183">
        <f t="shared" si="1"/>
        <v>1.1752499999999999</v>
      </c>
      <c r="I16" s="183">
        <f t="shared" si="1"/>
        <v>0.32500000000000001</v>
      </c>
      <c r="J16" s="183">
        <f t="shared" si="1"/>
        <v>0.69137499999999996</v>
      </c>
    </row>
    <row r="17" spans="2:14" ht="9.75" customHeight="1" x14ac:dyDescent="0.3">
      <c r="B17" s="184"/>
      <c r="C17" s="184"/>
      <c r="D17" s="179"/>
      <c r="E17" s="179"/>
      <c r="F17" s="179"/>
      <c r="G17" s="179"/>
      <c r="H17" s="179"/>
      <c r="I17" s="179"/>
      <c r="J17" s="179"/>
    </row>
    <row r="18" spans="2:14" ht="22.5" customHeight="1" x14ac:dyDescent="0.25">
      <c r="B18" s="561" t="s">
        <v>469</v>
      </c>
      <c r="C18" s="562"/>
      <c r="D18" s="562"/>
      <c r="E18" s="563"/>
      <c r="F18" s="185"/>
      <c r="G18" s="175"/>
      <c r="H18" s="175"/>
      <c r="I18" s="175"/>
      <c r="J18" s="175"/>
    </row>
    <row r="19" spans="2:14" ht="15.75" customHeight="1" x14ac:dyDescent="0.2">
      <c r="K19" s="567" t="s">
        <v>470</v>
      </c>
      <c r="L19" s="568"/>
      <c r="M19" s="568"/>
      <c r="N19" s="569"/>
    </row>
    <row r="20" spans="2:14" ht="22.5" customHeight="1" x14ac:dyDescent="0.2">
      <c r="K20" s="570" t="s">
        <v>155</v>
      </c>
      <c r="L20" s="571"/>
      <c r="M20" s="571"/>
      <c r="N20" s="572"/>
    </row>
    <row r="21" spans="2:14" ht="22.5" customHeight="1" x14ac:dyDescent="0.2">
      <c r="K21" s="573"/>
      <c r="L21" s="574"/>
      <c r="M21" s="574"/>
      <c r="N21" s="575"/>
    </row>
    <row r="22" spans="2:14" ht="22.5" customHeight="1" x14ac:dyDescent="0.2">
      <c r="K22" s="573"/>
      <c r="L22" s="574"/>
      <c r="M22" s="574"/>
      <c r="N22" s="575"/>
    </row>
    <row r="23" spans="2:14" ht="22.5" customHeight="1" x14ac:dyDescent="0.2">
      <c r="K23" s="573"/>
      <c r="L23" s="574"/>
      <c r="M23" s="574"/>
      <c r="N23" s="575"/>
    </row>
    <row r="24" spans="2:14" ht="22.5" customHeight="1" x14ac:dyDescent="0.2">
      <c r="K24" s="573"/>
      <c r="L24" s="574"/>
      <c r="M24" s="574"/>
      <c r="N24" s="575"/>
    </row>
    <row r="25" spans="2:14" ht="22.5" customHeight="1" x14ac:dyDescent="0.2">
      <c r="K25" s="573"/>
      <c r="L25" s="574"/>
      <c r="M25" s="574"/>
      <c r="N25" s="575"/>
    </row>
    <row r="26" spans="2:14" ht="22.5" customHeight="1" x14ac:dyDescent="0.2">
      <c r="K26" s="573"/>
      <c r="L26" s="574"/>
      <c r="M26" s="574"/>
      <c r="N26" s="575"/>
    </row>
    <row r="27" spans="2:14" ht="22.5" customHeight="1" x14ac:dyDescent="0.2">
      <c r="K27" s="573"/>
      <c r="L27" s="574"/>
      <c r="M27" s="574"/>
      <c r="N27" s="575"/>
    </row>
    <row r="28" spans="2:14" ht="22.5" customHeight="1" x14ac:dyDescent="0.2">
      <c r="K28" s="576"/>
      <c r="L28" s="577"/>
      <c r="M28" s="577"/>
      <c r="N28" s="578"/>
    </row>
    <row r="29" spans="2:14" ht="6" customHeight="1" x14ac:dyDescent="0.2"/>
    <row r="30" spans="2:14" ht="19.5" customHeight="1" x14ac:dyDescent="0.2">
      <c r="H30" s="559" t="s">
        <v>155</v>
      </c>
      <c r="I30" s="560"/>
      <c r="J30" s="560"/>
    </row>
  </sheetData>
  <sheetProtection formatCells="0" formatColumns="0" formatRows="0" insertColumns="0" insertRows="0" insertHyperlinks="0" deleteColumns="0" deleteRows="0" autoFilter="0" pivotTables="0"/>
  <mergeCells count="34">
    <mergeCell ref="H8:J8"/>
    <mergeCell ref="F8:G8"/>
    <mergeCell ref="D9:E9"/>
    <mergeCell ref="F9:G9"/>
    <mergeCell ref="H9:J9"/>
    <mergeCell ref="B2:D2"/>
    <mergeCell ref="E2:J2"/>
    <mergeCell ref="B4:C4"/>
    <mergeCell ref="D4:E4"/>
    <mergeCell ref="F4:G4"/>
    <mergeCell ref="H4:J4"/>
    <mergeCell ref="B5:C5"/>
    <mergeCell ref="H5:J5"/>
    <mergeCell ref="B11:J11"/>
    <mergeCell ref="D5:E5"/>
    <mergeCell ref="F5:G5"/>
    <mergeCell ref="B7:C7"/>
    <mergeCell ref="D7:E7"/>
    <mergeCell ref="F7:G7"/>
    <mergeCell ref="B9:C9"/>
    <mergeCell ref="H7:J7"/>
    <mergeCell ref="B6:C6"/>
    <mergeCell ref="D6:E6"/>
    <mergeCell ref="F6:G6"/>
    <mergeCell ref="H6:J6"/>
    <mergeCell ref="B8:C8"/>
    <mergeCell ref="D8:E8"/>
    <mergeCell ref="K20:N28"/>
    <mergeCell ref="H30:J30"/>
    <mergeCell ref="B14:C14"/>
    <mergeCell ref="B15:C15"/>
    <mergeCell ref="B16:C16"/>
    <mergeCell ref="B18:E18"/>
    <mergeCell ref="K19:N19"/>
  </mergeCells>
  <pageMargins left="0.7" right="0.7" top="0.75" bottom="0.75" header="0" footer="0"/>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E561B-1205-4821-A5FB-E4BB68BF366A}">
  <sheetPr>
    <tabColor theme="9" tint="-0.499984740745262"/>
    <pageSetUpPr fitToPage="1"/>
  </sheetPr>
  <dimension ref="B2:N49"/>
  <sheetViews>
    <sheetView showGridLines="0" workbookViewId="0">
      <selection activeCell="N5" sqref="N5"/>
    </sheetView>
  </sheetViews>
  <sheetFormatPr defaultColWidth="12.5703125" defaultRowHeight="15.75" customHeight="1" x14ac:dyDescent="0.2"/>
  <cols>
    <col min="1" max="1" width="3.42578125" customWidth="1"/>
    <col min="2" max="2" width="14.140625" customWidth="1"/>
    <col min="3" max="3" width="17.42578125" customWidth="1"/>
    <col min="4" max="4" width="14.42578125" customWidth="1"/>
    <col min="5" max="9" width="12.5703125" customWidth="1"/>
    <col min="10" max="10" width="11.28515625" customWidth="1"/>
    <col min="11" max="11" width="10.42578125" customWidth="1"/>
    <col min="12" max="12" width="9.85546875" bestFit="1" customWidth="1"/>
  </cols>
  <sheetData>
    <row r="2" spans="2:14" ht="55.5" customHeight="1" x14ac:dyDescent="0.2">
      <c r="B2" s="714"/>
      <c r="C2" s="715"/>
      <c r="D2" s="716"/>
      <c r="E2" s="717" t="s">
        <v>192</v>
      </c>
      <c r="F2" s="715"/>
      <c r="G2" s="715"/>
      <c r="H2" s="715"/>
      <c r="I2" s="715"/>
      <c r="J2" s="716"/>
    </row>
    <row r="3" spans="2:14" ht="22.5" customHeight="1" x14ac:dyDescent="0.2">
      <c r="B3" s="41"/>
      <c r="C3" s="41"/>
      <c r="D3" s="42"/>
      <c r="E3" s="42"/>
      <c r="F3" s="42"/>
      <c r="G3" s="42"/>
      <c r="H3" s="42"/>
      <c r="I3" s="42"/>
    </row>
    <row r="4" spans="2:14" ht="42" customHeight="1" x14ac:dyDescent="0.2">
      <c r="B4" s="567" t="s">
        <v>193</v>
      </c>
      <c r="C4" s="569"/>
      <c r="D4" s="718" t="str">
        <f>Índex!B35</f>
        <v>PC3.01_Ind02.</v>
      </c>
      <c r="E4" s="716"/>
      <c r="F4" s="567" t="s">
        <v>194</v>
      </c>
      <c r="G4" s="569"/>
      <c r="H4" s="718" t="str">
        <f>Índex!C35</f>
        <v>Percentatge d’homes i dones matriculats per curs acadèmic i titulació</v>
      </c>
      <c r="I4" s="715"/>
      <c r="J4" s="716"/>
    </row>
    <row r="5" spans="2:14" ht="22.5" customHeight="1" x14ac:dyDescent="0.2">
      <c r="B5" s="567" t="s">
        <v>195</v>
      </c>
      <c r="C5" s="569"/>
      <c r="D5" s="718" t="str">
        <f>Índex!F35</f>
        <v>40-60%</v>
      </c>
      <c r="E5" s="716"/>
      <c r="F5" s="567" t="s">
        <v>196</v>
      </c>
      <c r="G5" s="569"/>
      <c r="H5" s="718" t="s">
        <v>216</v>
      </c>
      <c r="I5" s="715"/>
      <c r="J5" s="716"/>
    </row>
    <row r="6" spans="2:14" ht="30" customHeight="1" x14ac:dyDescent="0.2">
      <c r="B6" s="567" t="s">
        <v>471</v>
      </c>
      <c r="C6" s="569"/>
      <c r="D6" s="718" t="str">
        <f>Índex!H35</f>
        <v>Objectiu de Qualitat. Qualitat dels programes formatius</v>
      </c>
      <c r="E6" s="716"/>
      <c r="F6" s="567" t="s">
        <v>462</v>
      </c>
      <c r="G6" s="569"/>
      <c r="H6" s="718"/>
      <c r="I6" s="715"/>
      <c r="J6" s="716"/>
    </row>
    <row r="7" spans="2:14" ht="22.5" customHeight="1" x14ac:dyDescent="0.2">
      <c r="B7" s="567" t="s">
        <v>504</v>
      </c>
      <c r="C7" s="569"/>
      <c r="D7" s="718"/>
      <c r="E7" s="716"/>
      <c r="F7" s="567" t="s">
        <v>505</v>
      </c>
      <c r="G7" s="569"/>
      <c r="H7" s="718" t="s">
        <v>198</v>
      </c>
      <c r="I7" s="715"/>
      <c r="J7" s="716"/>
    </row>
    <row r="8" spans="2:14" ht="27.75" customHeight="1" x14ac:dyDescent="0.2">
      <c r="B8" s="567" t="s">
        <v>465</v>
      </c>
      <c r="C8" s="569"/>
      <c r="D8" s="718" t="str">
        <f>Índex!D35</f>
        <v xml:space="preserve"> Vicedegana d'Afers Acadèmics de Grau</v>
      </c>
      <c r="E8" s="716"/>
      <c r="F8" s="567" t="s">
        <v>472</v>
      </c>
      <c r="G8" s="569"/>
      <c r="H8" s="718" t="str">
        <f>Índex!E35</f>
        <v xml:space="preserve">Gestor Acadèmic </v>
      </c>
      <c r="I8" s="715"/>
      <c r="J8" s="716"/>
    </row>
    <row r="9" spans="2:14" ht="38.25" customHeight="1" x14ac:dyDescent="0.2">
      <c r="B9" s="567" t="s">
        <v>461</v>
      </c>
      <c r="C9" s="569"/>
      <c r="D9" s="718" t="str">
        <f>Índex!G35</f>
        <v>PC3.01. Accés a Estudis i Perfils d’Ingrés</v>
      </c>
      <c r="E9" s="716"/>
      <c r="F9" s="567" t="s">
        <v>467</v>
      </c>
      <c r="G9" s="569"/>
      <c r="H9" s="718" t="s">
        <v>510</v>
      </c>
      <c r="I9" s="715"/>
      <c r="J9" s="716"/>
    </row>
    <row r="10" spans="2:14" ht="7.5" customHeight="1" x14ac:dyDescent="0.2"/>
    <row r="11" spans="2:14" ht="22.5" customHeight="1" x14ac:dyDescent="0.2">
      <c r="B11" s="567" t="s">
        <v>468</v>
      </c>
      <c r="C11" s="568"/>
      <c r="D11" s="568"/>
      <c r="E11" s="568"/>
      <c r="F11" s="568"/>
      <c r="G11" s="568"/>
      <c r="H11" s="568"/>
      <c r="I11" s="568"/>
      <c r="J11" s="569"/>
    </row>
    <row r="12" spans="2:14" ht="22.5" customHeight="1" x14ac:dyDescent="0.2">
      <c r="B12" s="13"/>
      <c r="C12" s="12"/>
      <c r="D12" s="12"/>
      <c r="E12" s="12"/>
      <c r="F12" s="12"/>
      <c r="G12" s="12"/>
      <c r="H12" s="12"/>
      <c r="I12" s="12"/>
      <c r="J12" s="12"/>
    </row>
    <row r="13" spans="2:14" ht="22.5" customHeight="1" x14ac:dyDescent="0.2">
      <c r="B13" s="876" t="s">
        <v>589</v>
      </c>
      <c r="C13" s="876" t="s">
        <v>201</v>
      </c>
      <c r="D13" s="876"/>
      <c r="E13" s="876" t="s">
        <v>202</v>
      </c>
      <c r="F13" s="876"/>
      <c r="G13" s="876" t="s">
        <v>203</v>
      </c>
      <c r="H13" s="876"/>
      <c r="I13" s="876" t="s">
        <v>204</v>
      </c>
      <c r="J13" s="876"/>
      <c r="K13" s="876" t="s">
        <v>205</v>
      </c>
      <c r="L13" s="876"/>
      <c r="M13" s="876" t="s">
        <v>256</v>
      </c>
      <c r="N13" s="876"/>
    </row>
    <row r="14" spans="2:14" ht="22.5" customHeight="1" x14ac:dyDescent="0.2">
      <c r="B14" s="876"/>
      <c r="C14" s="196" t="s">
        <v>331</v>
      </c>
      <c r="D14" s="196" t="s">
        <v>332</v>
      </c>
      <c r="E14" s="196" t="s">
        <v>331</v>
      </c>
      <c r="F14" s="196" t="s">
        <v>332</v>
      </c>
      <c r="G14" s="196" t="s">
        <v>331</v>
      </c>
      <c r="H14" s="196" t="s">
        <v>332</v>
      </c>
      <c r="I14" s="196" t="s">
        <v>331</v>
      </c>
      <c r="J14" s="196" t="s">
        <v>332</v>
      </c>
      <c r="K14" s="196" t="s">
        <v>331</v>
      </c>
      <c r="L14" s="196" t="s">
        <v>332</v>
      </c>
      <c r="M14" s="196" t="s">
        <v>331</v>
      </c>
      <c r="N14" s="196" t="s">
        <v>332</v>
      </c>
    </row>
    <row r="15" spans="2:14" ht="54.75" customHeight="1" x14ac:dyDescent="0.2">
      <c r="B15" s="24" t="s">
        <v>218</v>
      </c>
      <c r="C15" s="349">
        <v>0.52</v>
      </c>
      <c r="D15" s="349">
        <v>0.5</v>
      </c>
      <c r="E15" s="349">
        <v>0.52</v>
      </c>
      <c r="F15" s="349">
        <v>0.48</v>
      </c>
      <c r="G15" s="349">
        <v>0.6</v>
      </c>
      <c r="H15" s="349">
        <v>0.4</v>
      </c>
      <c r="I15" s="349">
        <v>0.59</v>
      </c>
      <c r="J15" s="349">
        <v>0.41</v>
      </c>
      <c r="K15" s="349">
        <v>0.56999999999999995</v>
      </c>
      <c r="L15" s="349">
        <v>0.43</v>
      </c>
      <c r="M15" s="349">
        <v>0.54659999999999997</v>
      </c>
      <c r="N15" s="349">
        <v>0.45340000000000003</v>
      </c>
    </row>
    <row r="16" spans="2:14" ht="40.5" customHeight="1" x14ac:dyDescent="0.2">
      <c r="B16" s="24" t="s">
        <v>235</v>
      </c>
      <c r="C16" s="349">
        <v>0.45</v>
      </c>
      <c r="D16" s="349">
        <v>0.55000000000000004</v>
      </c>
      <c r="E16" s="349">
        <v>0.42</v>
      </c>
      <c r="F16" s="349">
        <v>0.57999999999999996</v>
      </c>
      <c r="G16" s="349">
        <v>0.71</v>
      </c>
      <c r="H16" s="349">
        <v>0.28999999999999998</v>
      </c>
      <c r="I16" s="349">
        <v>0.52</v>
      </c>
      <c r="J16" s="349">
        <v>0.48</v>
      </c>
      <c r="K16" s="349">
        <v>0.4</v>
      </c>
      <c r="L16" s="349">
        <v>0.6</v>
      </c>
      <c r="M16" s="349">
        <v>0.54300000000000004</v>
      </c>
      <c r="N16" s="349">
        <v>0.45700000000000002</v>
      </c>
    </row>
    <row r="17" spans="2:14" ht="43.5" customHeight="1" x14ac:dyDescent="0.2">
      <c r="B17" s="24" t="s">
        <v>220</v>
      </c>
      <c r="C17" s="350">
        <v>0.51</v>
      </c>
      <c r="D17" s="349">
        <v>0.49</v>
      </c>
      <c r="E17" s="349">
        <v>0.51</v>
      </c>
      <c r="F17" s="349">
        <v>0.49</v>
      </c>
      <c r="G17" s="349">
        <v>0.32</v>
      </c>
      <c r="H17" s="349">
        <v>0.68</v>
      </c>
      <c r="I17" s="349">
        <v>0.49</v>
      </c>
      <c r="J17" s="349">
        <v>0.51</v>
      </c>
      <c r="K17" s="349">
        <v>0.4</v>
      </c>
      <c r="L17" s="349">
        <v>0.6</v>
      </c>
      <c r="M17" s="349">
        <v>0.47849999999999998</v>
      </c>
      <c r="N17" s="349">
        <v>0.52149999999999996</v>
      </c>
    </row>
    <row r="18" spans="2:14" ht="22.5" customHeight="1" x14ac:dyDescent="0.2">
      <c r="B18" s="24" t="s">
        <v>221</v>
      </c>
      <c r="C18" s="349">
        <v>0.17</v>
      </c>
      <c r="D18" s="349">
        <v>0.83</v>
      </c>
      <c r="E18" s="349">
        <v>0.17</v>
      </c>
      <c r="F18" s="349">
        <v>0.83</v>
      </c>
      <c r="G18" s="349">
        <v>0.26</v>
      </c>
      <c r="H18" s="349">
        <v>0.74</v>
      </c>
      <c r="I18" s="349">
        <v>0.28999999999999998</v>
      </c>
      <c r="J18" s="349">
        <v>0.71</v>
      </c>
      <c r="K18" s="349">
        <v>0.28000000000000003</v>
      </c>
      <c r="L18" s="349">
        <v>0.72</v>
      </c>
      <c r="M18" s="349">
        <v>0.25</v>
      </c>
      <c r="N18" s="349">
        <v>0.75</v>
      </c>
    </row>
    <row r="19" spans="2:14" ht="33.75" customHeight="1" x14ac:dyDescent="0.2">
      <c r="B19" s="24" t="s">
        <v>294</v>
      </c>
      <c r="C19" s="349">
        <v>0.27</v>
      </c>
      <c r="D19" s="349">
        <v>0.73</v>
      </c>
      <c r="E19" s="349">
        <v>0.27</v>
      </c>
      <c r="F19" s="349">
        <v>0.73</v>
      </c>
      <c r="G19" s="349">
        <v>0.35</v>
      </c>
      <c r="H19" s="349">
        <v>0.65</v>
      </c>
      <c r="I19" s="349">
        <v>0.42</v>
      </c>
      <c r="J19" s="349">
        <v>0.57999999999999996</v>
      </c>
      <c r="K19" s="349">
        <v>0.27</v>
      </c>
      <c r="L19" s="349">
        <v>0.73</v>
      </c>
      <c r="M19" s="349">
        <v>0.25240000000000001</v>
      </c>
      <c r="N19" s="349">
        <v>0.74760000000000004</v>
      </c>
    </row>
    <row r="20" spans="2:14" ht="26.25" customHeight="1" x14ac:dyDescent="0.2">
      <c r="B20" s="24" t="s">
        <v>295</v>
      </c>
      <c r="C20" s="349">
        <v>0.27</v>
      </c>
      <c r="D20" s="349">
        <v>0.73</v>
      </c>
      <c r="E20" s="349">
        <v>0.27</v>
      </c>
      <c r="F20" s="349">
        <v>0.73</v>
      </c>
      <c r="G20" s="349">
        <v>0.28999999999999998</v>
      </c>
      <c r="H20" s="349">
        <v>0.71</v>
      </c>
      <c r="I20" s="349">
        <v>0.5</v>
      </c>
      <c r="J20" s="349">
        <v>0.5</v>
      </c>
      <c r="K20" s="349">
        <v>0.36</v>
      </c>
      <c r="L20" s="349">
        <v>0.64</v>
      </c>
      <c r="M20" s="349">
        <v>0.33660000000000001</v>
      </c>
      <c r="N20" s="349">
        <v>0.66339999999999999</v>
      </c>
    </row>
    <row r="21" spans="2:14" ht="22.5" customHeight="1" x14ac:dyDescent="0.2">
      <c r="B21" s="24" t="s">
        <v>224</v>
      </c>
      <c r="C21" s="349">
        <v>0.46</v>
      </c>
      <c r="D21" s="349">
        <v>0.54</v>
      </c>
      <c r="E21" s="349">
        <v>0.46</v>
      </c>
      <c r="F21" s="349">
        <v>0.54</v>
      </c>
      <c r="G21" s="349">
        <v>0.48</v>
      </c>
      <c r="H21" s="349">
        <v>0.52</v>
      </c>
      <c r="I21" s="349">
        <v>0.33</v>
      </c>
      <c r="J21" s="349">
        <v>0.67</v>
      </c>
      <c r="K21" s="349">
        <v>0.26</v>
      </c>
      <c r="L21" s="349">
        <v>0.74</v>
      </c>
      <c r="M21" s="349">
        <v>0.35</v>
      </c>
      <c r="N21" s="349">
        <v>0.65</v>
      </c>
    </row>
    <row r="22" spans="2:14" ht="22.5" customHeight="1" x14ac:dyDescent="0.2">
      <c r="B22" s="24" t="s">
        <v>225</v>
      </c>
      <c r="C22" s="349">
        <v>0.36</v>
      </c>
      <c r="D22" s="349">
        <v>0.64</v>
      </c>
      <c r="E22" s="349">
        <v>0.36</v>
      </c>
      <c r="F22" s="349">
        <v>0.64</v>
      </c>
      <c r="G22" s="349">
        <v>0.47</v>
      </c>
      <c r="H22" s="349">
        <v>0.53</v>
      </c>
      <c r="I22" s="349">
        <v>0.49</v>
      </c>
      <c r="J22" s="349">
        <v>0.52</v>
      </c>
      <c r="K22" s="349">
        <v>0.33</v>
      </c>
      <c r="L22" s="349">
        <v>0.67</v>
      </c>
      <c r="M22" s="349">
        <v>0.39410000000000001</v>
      </c>
      <c r="N22" s="349">
        <v>0.60589999999999999</v>
      </c>
    </row>
    <row r="23" spans="2:14" ht="22.5" customHeight="1" x14ac:dyDescent="0.2">
      <c r="B23" s="24" t="s">
        <v>226</v>
      </c>
      <c r="C23" s="349">
        <v>0.42</v>
      </c>
      <c r="D23" s="349">
        <v>0.57999999999999996</v>
      </c>
      <c r="E23" s="349">
        <v>0.42</v>
      </c>
      <c r="F23" s="349">
        <v>0.57999999999999996</v>
      </c>
      <c r="G23" s="349">
        <v>0.33</v>
      </c>
      <c r="H23" s="349">
        <v>0.67</v>
      </c>
      <c r="I23" s="349">
        <v>0.41</v>
      </c>
      <c r="J23" s="349">
        <v>0.59</v>
      </c>
      <c r="K23" s="349">
        <v>0.35</v>
      </c>
      <c r="L23" s="349">
        <v>0.65</v>
      </c>
      <c r="M23" s="349">
        <v>0.34320000000000001</v>
      </c>
      <c r="N23" s="349">
        <v>0.65680000000000005</v>
      </c>
    </row>
    <row r="24" spans="2:14" ht="22.5" customHeight="1" x14ac:dyDescent="0.2">
      <c r="B24" s="24" t="s">
        <v>227</v>
      </c>
      <c r="C24" s="349">
        <v>0.38</v>
      </c>
      <c r="D24" s="349">
        <v>0.62</v>
      </c>
      <c r="E24" s="349">
        <v>0.38</v>
      </c>
      <c r="F24" s="349">
        <v>0.62</v>
      </c>
      <c r="G24" s="349">
        <v>0.41</v>
      </c>
      <c r="H24" s="349">
        <v>0.59</v>
      </c>
      <c r="I24" s="349">
        <v>0.28999999999999998</v>
      </c>
      <c r="J24" s="349">
        <v>0.71</v>
      </c>
      <c r="K24" s="349">
        <v>0.42</v>
      </c>
      <c r="L24" s="349">
        <v>0.57999999999999996</v>
      </c>
      <c r="M24" s="349">
        <v>0.38369999999999999</v>
      </c>
      <c r="N24" s="349">
        <v>0.61629999999999996</v>
      </c>
    </row>
    <row r="25" spans="2:14" ht="22.5" customHeight="1" x14ac:dyDescent="0.2">
      <c r="B25" s="24" t="s">
        <v>228</v>
      </c>
      <c r="C25" s="349">
        <v>0.49</v>
      </c>
      <c r="D25" s="349">
        <v>0.51</v>
      </c>
      <c r="E25" s="349">
        <v>0.49</v>
      </c>
      <c r="F25" s="349">
        <v>0.51</v>
      </c>
      <c r="G25" s="349">
        <v>0.33</v>
      </c>
      <c r="H25" s="349">
        <v>0.67</v>
      </c>
      <c r="I25" s="349">
        <v>0.39</v>
      </c>
      <c r="J25" s="349">
        <v>0.61</v>
      </c>
      <c r="K25" s="349">
        <v>0.42</v>
      </c>
      <c r="L25" s="349">
        <v>0.57999999999999996</v>
      </c>
      <c r="M25" s="349">
        <v>0.41860000000000003</v>
      </c>
      <c r="N25" s="349">
        <v>0.58140000000000003</v>
      </c>
    </row>
    <row r="26" spans="2:14" ht="22.5" customHeight="1" x14ac:dyDescent="0.2">
      <c r="B26" s="24" t="s">
        <v>508</v>
      </c>
      <c r="C26" s="351" t="s">
        <v>89</v>
      </c>
      <c r="D26" s="351" t="s">
        <v>89</v>
      </c>
      <c r="E26" s="351" t="s">
        <v>89</v>
      </c>
      <c r="F26" s="351" t="s">
        <v>89</v>
      </c>
      <c r="G26" s="351" t="s">
        <v>89</v>
      </c>
      <c r="H26" s="351" t="s">
        <v>89</v>
      </c>
      <c r="I26" s="351" t="s">
        <v>89</v>
      </c>
      <c r="J26" s="351" t="s">
        <v>89</v>
      </c>
      <c r="K26" s="351" t="s">
        <v>89</v>
      </c>
      <c r="L26" s="351" t="s">
        <v>89</v>
      </c>
      <c r="M26" s="351" t="s">
        <v>89</v>
      </c>
      <c r="N26" s="351" t="s">
        <v>89</v>
      </c>
    </row>
    <row r="27" spans="2:14" ht="22.5" customHeight="1" x14ac:dyDescent="0.2">
      <c r="B27" s="24" t="s">
        <v>231</v>
      </c>
      <c r="C27" s="325">
        <f>COUNT(C15:C25)</f>
        <v>11</v>
      </c>
      <c r="D27" s="325">
        <f t="shared" ref="D27:M27" si="0">COUNT(D15:D25)</f>
        <v>11</v>
      </c>
      <c r="E27" s="325">
        <f t="shared" si="0"/>
        <v>11</v>
      </c>
      <c r="F27" s="325">
        <f t="shared" si="0"/>
        <v>11</v>
      </c>
      <c r="G27" s="325">
        <f t="shared" si="0"/>
        <v>11</v>
      </c>
      <c r="H27" s="325">
        <f t="shared" si="0"/>
        <v>11</v>
      </c>
      <c r="I27" s="325">
        <f t="shared" si="0"/>
        <v>11</v>
      </c>
      <c r="J27" s="325">
        <f t="shared" si="0"/>
        <v>11</v>
      </c>
      <c r="K27" s="325">
        <f t="shared" si="0"/>
        <v>11</v>
      </c>
      <c r="L27" s="325">
        <f t="shared" si="0"/>
        <v>11</v>
      </c>
      <c r="M27" s="325">
        <f t="shared" si="0"/>
        <v>11</v>
      </c>
      <c r="N27" s="325">
        <f>COUNT(N15:N25)</f>
        <v>11</v>
      </c>
    </row>
    <row r="28" spans="2:14" ht="22.5" customHeight="1" x14ac:dyDescent="0.2">
      <c r="B28" s="24" t="s">
        <v>509</v>
      </c>
      <c r="C28" s="325">
        <f>COUNTIFS(C15:C25,"&gt;=40%",C15:C25,"&lt;=60%")</f>
        <v>6</v>
      </c>
      <c r="D28" s="325">
        <f t="shared" ref="D28:N28" si="1">COUNTIFS(D15:D25,"&gt;=40%",D15:D25,"&lt;=60%")</f>
        <v>6</v>
      </c>
      <c r="E28" s="325">
        <f t="shared" si="1"/>
        <v>6</v>
      </c>
      <c r="F28" s="325">
        <f t="shared" si="1"/>
        <v>6</v>
      </c>
      <c r="G28" s="325">
        <f t="shared" si="1"/>
        <v>4</v>
      </c>
      <c r="H28" s="325">
        <f t="shared" si="1"/>
        <v>4</v>
      </c>
      <c r="I28" s="325">
        <f t="shared" si="1"/>
        <v>7</v>
      </c>
      <c r="J28" s="325">
        <f t="shared" si="1"/>
        <v>7</v>
      </c>
      <c r="K28" s="325">
        <f t="shared" si="1"/>
        <v>5</v>
      </c>
      <c r="L28" s="325">
        <f t="shared" si="1"/>
        <v>5</v>
      </c>
      <c r="M28" s="325">
        <f t="shared" si="1"/>
        <v>4</v>
      </c>
      <c r="N28" s="325">
        <f t="shared" si="1"/>
        <v>4</v>
      </c>
    </row>
    <row r="29" spans="2:14" ht="22.5" customHeight="1" x14ac:dyDescent="0.2">
      <c r="B29" s="24" t="s">
        <v>208</v>
      </c>
      <c r="C29" s="349">
        <f>C28/C27</f>
        <v>0.54545454545454541</v>
      </c>
      <c r="D29" s="349">
        <f t="shared" ref="D29:N29" si="2">D28/D27</f>
        <v>0.54545454545454541</v>
      </c>
      <c r="E29" s="349">
        <f t="shared" si="2"/>
        <v>0.54545454545454541</v>
      </c>
      <c r="F29" s="349">
        <f t="shared" si="2"/>
        <v>0.54545454545454541</v>
      </c>
      <c r="G29" s="349">
        <f t="shared" si="2"/>
        <v>0.36363636363636365</v>
      </c>
      <c r="H29" s="349">
        <f t="shared" si="2"/>
        <v>0.36363636363636365</v>
      </c>
      <c r="I29" s="349">
        <f t="shared" si="2"/>
        <v>0.63636363636363635</v>
      </c>
      <c r="J29" s="349">
        <f t="shared" si="2"/>
        <v>0.63636363636363635</v>
      </c>
      <c r="K29" s="349">
        <f t="shared" si="2"/>
        <v>0.45454545454545453</v>
      </c>
      <c r="L29" s="349">
        <f t="shared" si="2"/>
        <v>0.45454545454545453</v>
      </c>
      <c r="M29" s="349">
        <f t="shared" si="2"/>
        <v>0.36363636363636365</v>
      </c>
      <c r="N29" s="349">
        <f t="shared" si="2"/>
        <v>0.36363636363636365</v>
      </c>
    </row>
    <row r="30" spans="2:14" ht="22.5" customHeight="1" x14ac:dyDescent="0.2">
      <c r="B30" s="13"/>
    </row>
    <row r="31" spans="2:14" ht="22.5" customHeight="1" x14ac:dyDescent="0.2">
      <c r="B31" s="18"/>
      <c r="C31" s="18"/>
      <c r="D31" s="29"/>
      <c r="E31" s="29"/>
      <c r="F31" s="18"/>
      <c r="G31" s="12"/>
      <c r="H31" s="12"/>
      <c r="I31" s="12"/>
      <c r="J31" s="12"/>
    </row>
    <row r="32" spans="2:14" ht="22.5" customHeight="1" x14ac:dyDescent="0.2">
      <c r="B32" s="567" t="s">
        <v>469</v>
      </c>
      <c r="C32" s="568"/>
      <c r="D32" s="568"/>
      <c r="E32" s="569"/>
      <c r="F32" s="18"/>
      <c r="G32" s="12"/>
      <c r="H32" s="12"/>
      <c r="I32" s="12"/>
      <c r="J32" s="12"/>
    </row>
    <row r="37" spans="2:6" ht="22.5" customHeight="1" x14ac:dyDescent="0.2">
      <c r="B37" s="819" t="s">
        <v>292</v>
      </c>
      <c r="C37" s="820"/>
      <c r="D37" s="820"/>
      <c r="E37" s="820"/>
      <c r="F37" s="8"/>
    </row>
    <row r="38" spans="2:6" ht="22.5" customHeight="1" x14ac:dyDescent="0.2">
      <c r="B38" s="8"/>
      <c r="C38" s="8"/>
      <c r="D38" s="8"/>
      <c r="E38" s="8"/>
      <c r="F38" s="8"/>
    </row>
    <row r="39" spans="2:6" ht="6" customHeight="1" x14ac:dyDescent="0.2">
      <c r="B39" s="8"/>
      <c r="C39" s="8"/>
      <c r="D39" s="8"/>
      <c r="E39" s="8"/>
      <c r="F39" s="8"/>
    </row>
    <row r="40" spans="2:6" ht="19.5" customHeight="1" x14ac:dyDescent="0.2">
      <c r="B40" s="8"/>
      <c r="C40" s="8"/>
      <c r="D40" s="8"/>
      <c r="E40" s="8"/>
      <c r="F40" s="8"/>
    </row>
    <row r="41" spans="2:6" ht="19.5" customHeight="1" x14ac:dyDescent="0.2">
      <c r="B41" s="8"/>
      <c r="C41" s="8"/>
      <c r="D41" s="8"/>
      <c r="E41" s="8"/>
      <c r="F41" s="8"/>
    </row>
    <row r="42" spans="2:6" ht="19.5" customHeight="1" x14ac:dyDescent="0.2">
      <c r="B42" s="8"/>
      <c r="C42" s="8"/>
      <c r="D42" s="8"/>
      <c r="E42" s="8"/>
      <c r="F42" s="8"/>
    </row>
    <row r="43" spans="2:6" ht="19.5" customHeight="1" x14ac:dyDescent="0.2">
      <c r="B43" s="8"/>
      <c r="C43" s="8"/>
      <c r="D43" s="8"/>
      <c r="E43" s="8"/>
      <c r="F43" s="8"/>
    </row>
    <row r="44" spans="2:6" ht="19.5" customHeight="1" x14ac:dyDescent="0.2">
      <c r="B44" s="8"/>
      <c r="C44" s="8"/>
      <c r="D44" s="8"/>
      <c r="E44" s="8"/>
      <c r="F44" s="8"/>
    </row>
    <row r="45" spans="2:6" ht="19.5" customHeight="1" x14ac:dyDescent="0.2">
      <c r="B45" s="8"/>
      <c r="C45" s="8"/>
      <c r="D45" s="8"/>
      <c r="E45" s="8"/>
      <c r="F45" s="8"/>
    </row>
    <row r="46" spans="2:6" ht="19.5" customHeight="1" x14ac:dyDescent="0.2">
      <c r="B46" s="8"/>
      <c r="C46" s="8"/>
      <c r="D46" s="8"/>
      <c r="E46" s="8"/>
      <c r="F46" s="8"/>
    </row>
    <row r="47" spans="2:6" ht="19.5" customHeight="1" x14ac:dyDescent="0.2">
      <c r="B47" s="8"/>
      <c r="C47" s="8"/>
      <c r="D47" s="8"/>
      <c r="E47" s="8"/>
      <c r="F47" s="8"/>
    </row>
    <row r="48" spans="2:6" ht="19.5" customHeight="1" x14ac:dyDescent="0.2"/>
    <row r="49" spans="8:10" ht="19.5" customHeight="1" x14ac:dyDescent="0.2">
      <c r="H49" s="559" t="s">
        <v>155</v>
      </c>
      <c r="I49" s="560"/>
      <c r="J49" s="560"/>
    </row>
  </sheetData>
  <sheetProtection formatCells="0" formatColumns="0" formatRows="0" insertColumns="0" insertRows="0" insertHyperlinks="0" deleteColumns="0" deleteRows="0" pivotTables="0"/>
  <mergeCells count="37">
    <mergeCell ref="K13:L13"/>
    <mergeCell ref="M13:N13"/>
    <mergeCell ref="D9:E9"/>
    <mergeCell ref="F9:G9"/>
    <mergeCell ref="H9:J9"/>
    <mergeCell ref="B2:D2"/>
    <mergeCell ref="E2:J2"/>
    <mergeCell ref="B4:C4"/>
    <mergeCell ref="D4:E4"/>
    <mergeCell ref="F4:G4"/>
    <mergeCell ref="H4:J4"/>
    <mergeCell ref="B5:C5"/>
    <mergeCell ref="D5:E5"/>
    <mergeCell ref="F5:G5"/>
    <mergeCell ref="H5:J5"/>
    <mergeCell ref="B7:C7"/>
    <mergeCell ref="H6:J6"/>
    <mergeCell ref="H7:J7"/>
    <mergeCell ref="D7:E7"/>
    <mergeCell ref="F7:G7"/>
    <mergeCell ref="B6:C6"/>
    <mergeCell ref="D6:E6"/>
    <mergeCell ref="F6:G6"/>
    <mergeCell ref="H8:J8"/>
    <mergeCell ref="B32:E32"/>
    <mergeCell ref="B11:J11"/>
    <mergeCell ref="B37:E37"/>
    <mergeCell ref="H49:J49"/>
    <mergeCell ref="B13:B14"/>
    <mergeCell ref="C13:D13"/>
    <mergeCell ref="E13:F13"/>
    <mergeCell ref="G13:H13"/>
    <mergeCell ref="I13:J13"/>
    <mergeCell ref="B9:C9"/>
    <mergeCell ref="B8:C8"/>
    <mergeCell ref="D8:E8"/>
    <mergeCell ref="F8:G8"/>
  </mergeCells>
  <conditionalFormatting sqref="C15:N25">
    <cfRule type="cellIs" dxfId="34" priority="2" operator="lessThan">
      <formula>40%</formula>
    </cfRule>
  </conditionalFormatting>
  <pageMargins left="0.7" right="0.7" top="0.75" bottom="0.75" header="0" footer="0"/>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DD594-E1D9-4D65-BE27-424EEE5BD7FC}">
  <sheetPr>
    <tabColor theme="9" tint="-0.499984740745262"/>
    <pageSetUpPr fitToPage="1"/>
  </sheetPr>
  <dimension ref="B2:J52"/>
  <sheetViews>
    <sheetView showGridLines="0" workbookViewId="0">
      <selection activeCell="N7" sqref="N7"/>
    </sheetView>
  </sheetViews>
  <sheetFormatPr defaultColWidth="12.5703125" defaultRowHeight="15.75" customHeight="1" x14ac:dyDescent="0.2"/>
  <cols>
    <col min="1" max="1" width="3.42578125" customWidth="1"/>
    <col min="2" max="2" width="47.140625" bestFit="1" customWidth="1"/>
    <col min="3" max="3" width="18.140625" customWidth="1"/>
    <col min="4" max="4" width="17.28515625" customWidth="1"/>
    <col min="5" max="9" width="12.5703125" customWidth="1"/>
    <col min="10" max="10" width="36.2851562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Índex!B36</f>
        <v>PC3.01_Ind03.</v>
      </c>
      <c r="E4" s="716"/>
      <c r="F4" s="567" t="s">
        <v>194</v>
      </c>
      <c r="G4" s="569"/>
      <c r="H4" s="718" t="str">
        <f>Índex!C36</f>
        <v>Percentatge global d’alumnat matriculat als màsters oficials provinent de l’estranger</v>
      </c>
      <c r="I4" s="715"/>
      <c r="J4" s="716"/>
    </row>
    <row r="5" spans="2:10" ht="22.5" customHeight="1" x14ac:dyDescent="0.2">
      <c r="B5" s="567" t="s">
        <v>195</v>
      </c>
      <c r="C5" s="569"/>
      <c r="D5" s="784">
        <f>Índex!F36</f>
        <v>0.2</v>
      </c>
      <c r="E5" s="785"/>
      <c r="F5" s="567" t="s">
        <v>196</v>
      </c>
      <c r="G5" s="569"/>
      <c r="H5" s="718" t="s">
        <v>216</v>
      </c>
      <c r="I5" s="715"/>
      <c r="J5" s="716"/>
    </row>
    <row r="6" spans="2:10" ht="33" customHeight="1" x14ac:dyDescent="0.2">
      <c r="B6" s="567" t="s">
        <v>471</v>
      </c>
      <c r="C6" s="569"/>
      <c r="D6" s="718" t="str">
        <f>Índex!H36</f>
        <v>Objectiu de Qualitat. Qualitat dels programes formatius</v>
      </c>
      <c r="E6" s="716"/>
      <c r="F6" s="567" t="s">
        <v>513</v>
      </c>
      <c r="G6" s="569"/>
      <c r="H6" s="718"/>
      <c r="I6" s="715"/>
      <c r="J6" s="716"/>
    </row>
    <row r="7" spans="2:10" ht="22.5" customHeight="1" x14ac:dyDescent="0.2">
      <c r="B7" s="567" t="s">
        <v>463</v>
      </c>
      <c r="C7" s="569"/>
      <c r="D7" s="718"/>
      <c r="E7" s="716"/>
      <c r="F7" s="567" t="s">
        <v>464</v>
      </c>
      <c r="G7" s="569"/>
      <c r="H7" s="718" t="s">
        <v>198</v>
      </c>
      <c r="I7" s="715"/>
      <c r="J7" s="716"/>
    </row>
    <row r="8" spans="2:10" ht="33" customHeight="1" x14ac:dyDescent="0.2">
      <c r="B8" s="567" t="s">
        <v>465</v>
      </c>
      <c r="C8" s="569"/>
      <c r="D8" s="718" t="str">
        <f>Índex!D36</f>
        <v xml:space="preserve"> Vicedegana d'Afers Acadèmics de Grau</v>
      </c>
      <c r="E8" s="716"/>
      <c r="F8" s="567" t="s">
        <v>472</v>
      </c>
      <c r="G8" s="569"/>
      <c r="H8" s="718" t="str">
        <f>Índex!E36</f>
        <v xml:space="preserve">Gestor Acadèmic </v>
      </c>
      <c r="I8" s="715"/>
      <c r="J8" s="716"/>
    </row>
    <row r="9" spans="2:10" ht="28.5" customHeight="1" x14ac:dyDescent="0.2">
      <c r="B9" s="567" t="s">
        <v>461</v>
      </c>
      <c r="C9" s="569"/>
      <c r="D9" s="718" t="str">
        <f>Índex!G36</f>
        <v>PC3.01. Accés a Estudis i Perfils d’Ingrés</v>
      </c>
      <c r="E9" s="716"/>
      <c r="F9" s="567" t="s">
        <v>467</v>
      </c>
      <c r="G9" s="569"/>
      <c r="H9" s="718" t="s">
        <v>514</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c r="B13" s="126" t="s">
        <v>155</v>
      </c>
      <c r="H13" s="12"/>
      <c r="I13" s="12"/>
      <c r="J13" s="12"/>
    </row>
    <row r="14" spans="2:10" ht="33" customHeight="1" x14ac:dyDescent="0.2">
      <c r="B14" s="78" t="s">
        <v>333</v>
      </c>
      <c r="C14" s="78" t="s">
        <v>201</v>
      </c>
      <c r="D14" s="78" t="s">
        <v>202</v>
      </c>
      <c r="E14" s="78" t="s">
        <v>203</v>
      </c>
      <c r="F14" s="78" t="s">
        <v>204</v>
      </c>
      <c r="G14" s="78" t="s">
        <v>205</v>
      </c>
      <c r="H14" s="78" t="s">
        <v>256</v>
      </c>
      <c r="I14" s="12"/>
      <c r="J14" s="12"/>
    </row>
    <row r="15" spans="2:10" ht="33" customHeight="1" x14ac:dyDescent="0.2">
      <c r="B15" s="28" t="s">
        <v>241</v>
      </c>
      <c r="C15" s="271">
        <v>0.61</v>
      </c>
      <c r="D15" s="271">
        <v>0.75</v>
      </c>
      <c r="E15" s="271">
        <v>0.5</v>
      </c>
      <c r="F15" s="271">
        <v>0.64</v>
      </c>
      <c r="G15" s="271">
        <v>0.75</v>
      </c>
      <c r="H15" s="271">
        <v>0.70369999999999999</v>
      </c>
      <c r="I15" s="12"/>
      <c r="J15" s="12"/>
    </row>
    <row r="16" spans="2:10" ht="47.25" customHeight="1" x14ac:dyDescent="0.2">
      <c r="B16" s="28" t="s">
        <v>251</v>
      </c>
      <c r="C16" s="271">
        <v>0.05</v>
      </c>
      <c r="D16" s="271">
        <v>0.28999999999999998</v>
      </c>
      <c r="E16" s="271">
        <v>0.125</v>
      </c>
      <c r="F16" s="271">
        <v>0.19</v>
      </c>
      <c r="G16" s="271">
        <v>0.1153</v>
      </c>
      <c r="H16" s="271">
        <v>0.15</v>
      </c>
      <c r="I16" s="12"/>
      <c r="J16" s="12"/>
    </row>
    <row r="17" spans="2:10" ht="22.5" customHeight="1" x14ac:dyDescent="0.2">
      <c r="B17" s="28" t="s">
        <v>252</v>
      </c>
      <c r="C17" s="271">
        <v>0.53</v>
      </c>
      <c r="D17" s="271">
        <v>0.27</v>
      </c>
      <c r="E17" s="271">
        <v>0</v>
      </c>
      <c r="F17" s="271">
        <v>0.14000000000000001</v>
      </c>
      <c r="G17" s="271">
        <v>0.22220000000000001</v>
      </c>
      <c r="H17" s="271">
        <v>0.2</v>
      </c>
      <c r="I17" s="12"/>
      <c r="J17" s="12"/>
    </row>
    <row r="18" spans="2:10" ht="42.75" customHeight="1" x14ac:dyDescent="0.2">
      <c r="B18" s="28" t="s">
        <v>334</v>
      </c>
      <c r="C18" s="271">
        <v>0.26</v>
      </c>
      <c r="D18" s="271">
        <v>0.28000000000000003</v>
      </c>
      <c r="E18" s="271">
        <v>0.16700000000000001</v>
      </c>
      <c r="F18" s="271">
        <v>0.14000000000000001</v>
      </c>
      <c r="G18" s="271">
        <v>0.14280000000000001</v>
      </c>
      <c r="H18" s="271">
        <v>0.20449999999999999</v>
      </c>
      <c r="I18" s="12"/>
      <c r="J18" s="12"/>
    </row>
    <row r="19" spans="2:10" ht="42.75" customHeight="1" x14ac:dyDescent="0.2">
      <c r="B19" s="28" t="s">
        <v>253</v>
      </c>
      <c r="C19" s="271">
        <v>0.19</v>
      </c>
      <c r="D19" s="271">
        <v>0.05</v>
      </c>
      <c r="E19" s="271">
        <v>0.14299999999999999</v>
      </c>
      <c r="F19" s="271">
        <v>0.15</v>
      </c>
      <c r="G19" s="271">
        <v>8.3299999999999999E-2</v>
      </c>
      <c r="H19" s="271">
        <v>0.22220000000000001</v>
      </c>
      <c r="I19" s="12"/>
      <c r="J19" s="12"/>
    </row>
    <row r="20" spans="2:10" ht="39" customHeight="1" x14ac:dyDescent="0.2">
      <c r="B20" s="28" t="s">
        <v>245</v>
      </c>
      <c r="C20" s="271">
        <v>0.2</v>
      </c>
      <c r="D20" s="271">
        <v>0.38</v>
      </c>
      <c r="E20" s="271">
        <v>0</v>
      </c>
      <c r="F20" s="271">
        <v>0</v>
      </c>
      <c r="G20" s="271">
        <v>0.25</v>
      </c>
      <c r="H20" s="271">
        <v>6.6600000000000006E-2</v>
      </c>
    </row>
    <row r="21" spans="2:10" ht="22.5" customHeight="1" x14ac:dyDescent="0.2">
      <c r="B21" s="28" t="s">
        <v>254</v>
      </c>
      <c r="C21" s="271">
        <v>0.13</v>
      </c>
      <c r="D21" s="271">
        <v>0.09</v>
      </c>
      <c r="E21" s="271">
        <v>8.1000000000000003E-2</v>
      </c>
      <c r="F21" s="271">
        <v>0.22</v>
      </c>
      <c r="G21" s="271">
        <v>0.10249999999999999</v>
      </c>
      <c r="H21" s="271">
        <v>0.37209999999999999</v>
      </c>
    </row>
    <row r="22" spans="2:10" ht="49.5" customHeight="1" x14ac:dyDescent="0.2">
      <c r="B22" s="159" t="s">
        <v>5</v>
      </c>
      <c r="C22" s="352">
        <f t="shared" ref="C22:H22" si="0">$D$5</f>
        <v>0.2</v>
      </c>
      <c r="D22" s="352">
        <f t="shared" si="0"/>
        <v>0.2</v>
      </c>
      <c r="E22" s="352">
        <f t="shared" si="0"/>
        <v>0.2</v>
      </c>
      <c r="F22" s="352">
        <f t="shared" si="0"/>
        <v>0.2</v>
      </c>
      <c r="G22" s="352">
        <f t="shared" si="0"/>
        <v>0.2</v>
      </c>
      <c r="H22" s="352">
        <f t="shared" si="0"/>
        <v>0.2</v>
      </c>
    </row>
    <row r="23" spans="2:10" ht="49.5" customHeight="1" x14ac:dyDescent="0.2">
      <c r="B23" s="39" t="s">
        <v>512</v>
      </c>
      <c r="C23" s="273">
        <f t="shared" ref="C23:H23" si="1">COUNT(C15:C21)</f>
        <v>7</v>
      </c>
      <c r="D23" s="273">
        <f t="shared" si="1"/>
        <v>7</v>
      </c>
      <c r="E23" s="273">
        <f t="shared" si="1"/>
        <v>7</v>
      </c>
      <c r="F23" s="273">
        <f t="shared" si="1"/>
        <v>7</v>
      </c>
      <c r="G23" s="273">
        <f t="shared" si="1"/>
        <v>7</v>
      </c>
      <c r="H23" s="273">
        <f t="shared" si="1"/>
        <v>7</v>
      </c>
    </row>
    <row r="24" spans="2:10" ht="49.5" customHeight="1" x14ac:dyDescent="0.2">
      <c r="B24" s="39" t="s">
        <v>511</v>
      </c>
      <c r="C24" s="274">
        <f t="shared" ref="C24:H24" si="2">COUNTIF(C15:C21,"&gt;="&amp;C22)</f>
        <v>4</v>
      </c>
      <c r="D24" s="274">
        <f t="shared" si="2"/>
        <v>5</v>
      </c>
      <c r="E24" s="274">
        <f t="shared" si="2"/>
        <v>1</v>
      </c>
      <c r="F24" s="274">
        <f t="shared" si="2"/>
        <v>2</v>
      </c>
      <c r="G24" s="274">
        <f t="shared" si="2"/>
        <v>3</v>
      </c>
      <c r="H24" s="274">
        <f t="shared" si="2"/>
        <v>5</v>
      </c>
    </row>
    <row r="25" spans="2:10" ht="47.25" customHeight="1" x14ac:dyDescent="0.2">
      <c r="B25" s="159" t="s">
        <v>215</v>
      </c>
      <c r="C25" s="352">
        <f t="shared" ref="C25:H25" si="3">C24/C23</f>
        <v>0.5714285714285714</v>
      </c>
      <c r="D25" s="352">
        <f t="shared" si="3"/>
        <v>0.7142857142857143</v>
      </c>
      <c r="E25" s="352">
        <f t="shared" si="3"/>
        <v>0.14285714285714285</v>
      </c>
      <c r="F25" s="352">
        <f t="shared" si="3"/>
        <v>0.2857142857142857</v>
      </c>
      <c r="G25" s="352">
        <f t="shared" si="3"/>
        <v>0.42857142857142855</v>
      </c>
      <c r="H25" s="352">
        <f t="shared" si="3"/>
        <v>0.7142857142857143</v>
      </c>
    </row>
    <row r="26" spans="2:10" ht="22.5" customHeight="1" x14ac:dyDescent="0.2">
      <c r="B26" s="18"/>
      <c r="C26" s="18"/>
      <c r="D26" s="18"/>
      <c r="E26" s="18"/>
      <c r="F26" s="18"/>
      <c r="G26" s="18"/>
    </row>
    <row r="27" spans="2:10" ht="22.5" customHeight="1" x14ac:dyDescent="0.2">
      <c r="B27" s="18"/>
      <c r="C27" s="18"/>
      <c r="D27" s="18"/>
      <c r="E27" s="18"/>
      <c r="F27" s="18"/>
      <c r="G27" s="18"/>
    </row>
    <row r="28" spans="2:10" ht="22.5" customHeight="1" x14ac:dyDescent="0.2">
      <c r="B28" s="567" t="s">
        <v>469</v>
      </c>
      <c r="C28" s="568"/>
      <c r="D28" s="568"/>
      <c r="E28" s="569"/>
      <c r="F28" s="72"/>
      <c r="G28" s="72"/>
    </row>
    <row r="40" spans="2:10" ht="22.5" customHeight="1" x14ac:dyDescent="0.2">
      <c r="B40" s="819" t="s">
        <v>292</v>
      </c>
      <c r="C40" s="820"/>
      <c r="D40" s="820"/>
      <c r="E40" s="820"/>
      <c r="F40" s="8"/>
      <c r="G40" s="567" t="s">
        <v>210</v>
      </c>
      <c r="H40" s="568"/>
      <c r="I40" s="568"/>
      <c r="J40" s="569"/>
    </row>
    <row r="41" spans="2:10" ht="22.5" customHeight="1" x14ac:dyDescent="0.2">
      <c r="B41" s="8"/>
      <c r="C41" s="8"/>
      <c r="D41" s="8"/>
      <c r="E41" s="8"/>
      <c r="F41" s="8"/>
      <c r="G41" s="9"/>
      <c r="H41" s="9"/>
      <c r="I41" s="9"/>
      <c r="J41" s="9"/>
    </row>
    <row r="42" spans="2:10" ht="6" customHeight="1" x14ac:dyDescent="0.2">
      <c r="B42" s="8"/>
      <c r="C42" s="8"/>
      <c r="D42" s="8"/>
      <c r="E42" s="8"/>
      <c r="F42" s="8"/>
      <c r="G42" s="570" t="s">
        <v>155</v>
      </c>
      <c r="H42" s="571"/>
      <c r="I42" s="571"/>
      <c r="J42" s="572"/>
    </row>
    <row r="43" spans="2:10" ht="19.5" customHeight="1" x14ac:dyDescent="0.2">
      <c r="B43" s="8"/>
      <c r="C43" s="8"/>
      <c r="D43" s="8"/>
      <c r="E43" s="8"/>
      <c r="F43" s="8"/>
      <c r="G43" s="573"/>
      <c r="H43" s="574"/>
      <c r="I43" s="574"/>
      <c r="J43" s="575"/>
    </row>
    <row r="44" spans="2:10" ht="19.5" customHeight="1" x14ac:dyDescent="0.2">
      <c r="B44" s="8"/>
      <c r="C44" s="8"/>
      <c r="D44" s="8"/>
      <c r="E44" s="8"/>
      <c r="F44" s="8"/>
      <c r="G44" s="573"/>
      <c r="H44" s="574"/>
      <c r="I44" s="574"/>
      <c r="J44" s="575"/>
    </row>
    <row r="45" spans="2:10" ht="19.5" customHeight="1" x14ac:dyDescent="0.2">
      <c r="B45" s="8"/>
      <c r="C45" s="8"/>
      <c r="D45" s="8"/>
      <c r="E45" s="8"/>
      <c r="F45" s="8"/>
      <c r="G45" s="573"/>
      <c r="H45" s="574"/>
      <c r="I45" s="574"/>
      <c r="J45" s="575"/>
    </row>
    <row r="46" spans="2:10" ht="19.5" customHeight="1" x14ac:dyDescent="0.2">
      <c r="B46" s="8"/>
      <c r="C46" s="8"/>
      <c r="D46" s="8"/>
      <c r="E46" s="8"/>
      <c r="F46" s="8"/>
      <c r="G46" s="573"/>
      <c r="H46" s="574"/>
      <c r="I46" s="574"/>
      <c r="J46" s="575"/>
    </row>
    <row r="47" spans="2:10" ht="19.5" customHeight="1" x14ac:dyDescent="0.2">
      <c r="B47" s="8"/>
      <c r="C47" s="8"/>
      <c r="D47" s="8"/>
      <c r="E47" s="8"/>
      <c r="F47" s="8"/>
      <c r="G47" s="573"/>
      <c r="H47" s="574"/>
      <c r="I47" s="574"/>
      <c r="J47" s="575"/>
    </row>
    <row r="48" spans="2:10" ht="19.5" customHeight="1" x14ac:dyDescent="0.2">
      <c r="B48" s="8"/>
      <c r="C48" s="8"/>
      <c r="D48" s="8"/>
      <c r="E48" s="8"/>
      <c r="F48" s="8"/>
      <c r="G48" s="573"/>
      <c r="H48" s="574"/>
      <c r="I48" s="574"/>
      <c r="J48" s="575"/>
    </row>
    <row r="49" spans="2:10" ht="19.5" customHeight="1" x14ac:dyDescent="0.2">
      <c r="B49" s="8"/>
      <c r="C49" s="8"/>
      <c r="D49" s="8"/>
      <c r="E49" s="8"/>
      <c r="F49" s="8"/>
      <c r="G49" s="573"/>
      <c r="H49" s="574"/>
      <c r="I49" s="574"/>
      <c r="J49" s="575"/>
    </row>
    <row r="50" spans="2:10" ht="19.5" customHeight="1" x14ac:dyDescent="0.2">
      <c r="B50" s="8"/>
      <c r="C50" s="8"/>
      <c r="D50" s="8"/>
      <c r="E50" s="8"/>
      <c r="F50" s="8"/>
      <c r="G50" s="576"/>
      <c r="H50" s="577"/>
      <c r="I50" s="577"/>
      <c r="J50" s="578"/>
    </row>
    <row r="52" spans="2:10" ht="19.5" customHeight="1" x14ac:dyDescent="0.2">
      <c r="H52" s="559" t="s">
        <v>155</v>
      </c>
      <c r="I52" s="560"/>
      <c r="J52" s="560"/>
    </row>
  </sheetData>
  <sheetProtection formatCells="0" formatColumns="0" formatRows="0" insertColumns="0" insertRows="0" insertHyperlinks="0" deleteColumns="0" deleteRows="0" pivotTables="0"/>
  <mergeCells count="32">
    <mergeCell ref="G42:J50"/>
    <mergeCell ref="H52:J52"/>
    <mergeCell ref="B11:J11"/>
    <mergeCell ref="B40:E40"/>
    <mergeCell ref="G40:J40"/>
    <mergeCell ref="B28:E28"/>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 ref="B8:C8"/>
    <mergeCell ref="D8:E8"/>
    <mergeCell ref="F8:G8"/>
    <mergeCell ref="H8:J8"/>
    <mergeCell ref="D9:E9"/>
    <mergeCell ref="F9:G9"/>
    <mergeCell ref="H9:J9"/>
    <mergeCell ref="B9:C9"/>
  </mergeCells>
  <phoneticPr fontId="95" type="noConversion"/>
  <conditionalFormatting sqref="C15:H21">
    <cfRule type="cellIs" dxfId="33" priority="1" operator="between">
      <formula>0</formula>
      <formula>0.199</formula>
    </cfRule>
  </conditionalFormatting>
  <pageMargins left="0.7" right="0.7" top="0.75" bottom="0.75" header="0" footer="0"/>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744CC-FDFE-49A8-A217-85480E266AAC}">
  <sheetPr>
    <tabColor theme="9" tint="-0.499984740745262"/>
    <pageSetUpPr fitToPage="1"/>
  </sheetPr>
  <dimension ref="B2:O43"/>
  <sheetViews>
    <sheetView showGridLines="0" workbookViewId="0">
      <selection activeCell="N7" sqref="N7"/>
    </sheetView>
  </sheetViews>
  <sheetFormatPr defaultColWidth="12.5703125" defaultRowHeight="15.75" customHeight="1" x14ac:dyDescent="0.2"/>
  <cols>
    <col min="1" max="1" width="3.42578125" customWidth="1"/>
    <col min="2" max="2" width="14.140625" customWidth="1"/>
    <col min="3" max="3" width="17.140625" customWidth="1"/>
    <col min="4" max="4" width="17.28515625" customWidth="1"/>
    <col min="5" max="9" width="12.5703125" customWidth="1"/>
    <col min="10" max="10" width="11.425781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Índex!B37</f>
        <v>PC3.01_Ind04.</v>
      </c>
      <c r="E4" s="716"/>
      <c r="F4" s="567" t="s">
        <v>194</v>
      </c>
      <c r="G4" s="569"/>
      <c r="H4" s="718" t="str">
        <f>Índex!C37</f>
        <v>Taxa de rendiment de nou accés per Grau</v>
      </c>
      <c r="I4" s="715"/>
      <c r="J4" s="716"/>
    </row>
    <row r="5" spans="2:10" ht="22.5" customHeight="1" x14ac:dyDescent="0.2">
      <c r="B5" s="567" t="s">
        <v>195</v>
      </c>
      <c r="C5" s="569"/>
      <c r="D5" s="784">
        <f>Índex!F37</f>
        <v>0.7</v>
      </c>
      <c r="E5" s="785"/>
      <c r="F5" s="567" t="s">
        <v>196</v>
      </c>
      <c r="G5" s="569"/>
      <c r="H5" s="718" t="s">
        <v>216</v>
      </c>
      <c r="I5" s="715"/>
      <c r="J5" s="716"/>
    </row>
    <row r="6" spans="2:10" ht="31.5" customHeight="1" x14ac:dyDescent="0.2">
      <c r="B6" s="567" t="s">
        <v>471</v>
      </c>
      <c r="C6" s="569"/>
      <c r="D6" s="718" t="str">
        <f>Índex!H37</f>
        <v>Objectiu de Qualitat. Qualitat dels programes formatius</v>
      </c>
      <c r="E6" s="716"/>
      <c r="F6" s="567" t="s">
        <v>515</v>
      </c>
      <c r="G6" s="569"/>
      <c r="H6" s="718"/>
      <c r="I6" s="715"/>
      <c r="J6" s="716"/>
    </row>
    <row r="7" spans="2:10" ht="22.5" customHeight="1" x14ac:dyDescent="0.2">
      <c r="B7" s="567" t="s">
        <v>463</v>
      </c>
      <c r="C7" s="569"/>
      <c r="D7" s="718"/>
      <c r="E7" s="716"/>
      <c r="F7" s="567" t="s">
        <v>464</v>
      </c>
      <c r="G7" s="569"/>
      <c r="H7" s="718" t="s">
        <v>198</v>
      </c>
      <c r="I7" s="715"/>
      <c r="J7" s="716"/>
    </row>
    <row r="8" spans="2:10" ht="30.75" customHeight="1" x14ac:dyDescent="0.2">
      <c r="B8" s="567" t="s">
        <v>465</v>
      </c>
      <c r="C8" s="569"/>
      <c r="D8" s="718" t="str">
        <f>Índex!D37</f>
        <v xml:space="preserve"> Vicedegana d'Afers Acadèmics de Grau</v>
      </c>
      <c r="E8" s="716"/>
      <c r="F8" s="567" t="s">
        <v>472</v>
      </c>
      <c r="G8" s="569"/>
      <c r="H8" s="718" t="str">
        <f>Índex!E37</f>
        <v xml:space="preserve">Gestor Acadèmic </v>
      </c>
      <c r="I8" s="715"/>
      <c r="J8" s="716"/>
    </row>
    <row r="9" spans="2:10" ht="30.75" customHeight="1" x14ac:dyDescent="0.2">
      <c r="B9" s="567" t="s">
        <v>461</v>
      </c>
      <c r="C9" s="569"/>
      <c r="D9" s="718" t="str">
        <f>Índex!G37</f>
        <v>PC3.01. Accés a Estudis i Perfils d’Ingrés</v>
      </c>
      <c r="E9" s="716"/>
      <c r="F9" s="567" t="s">
        <v>467</v>
      </c>
      <c r="G9" s="569"/>
      <c r="H9" s="718" t="s">
        <v>514</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78" t="s">
        <v>200</v>
      </c>
      <c r="E14" s="78" t="s">
        <v>201</v>
      </c>
      <c r="F14" s="78" t="s">
        <v>202</v>
      </c>
      <c r="G14" s="78" t="s">
        <v>203</v>
      </c>
      <c r="H14" s="78" t="s">
        <v>204</v>
      </c>
      <c r="I14" s="78" t="s">
        <v>205</v>
      </c>
      <c r="J14" s="78" t="s">
        <v>256</v>
      </c>
    </row>
    <row r="15" spans="2:10" ht="41.25" customHeight="1" x14ac:dyDescent="0.2">
      <c r="B15" s="739" t="s">
        <v>218</v>
      </c>
      <c r="C15" s="739"/>
      <c r="D15" s="80">
        <v>0.84</v>
      </c>
      <c r="E15" s="80">
        <v>0.8</v>
      </c>
      <c r="F15" s="80">
        <v>0.95</v>
      </c>
      <c r="G15" s="80">
        <v>0.8</v>
      </c>
      <c r="H15" s="80">
        <v>0.86909999999999998</v>
      </c>
      <c r="I15" s="80">
        <v>0.85</v>
      </c>
      <c r="J15" s="80">
        <v>0.84</v>
      </c>
    </row>
    <row r="16" spans="2:10" ht="41.25" customHeight="1" x14ac:dyDescent="0.2">
      <c r="B16" s="739" t="s">
        <v>235</v>
      </c>
      <c r="C16" s="739"/>
      <c r="D16" s="80">
        <v>0.84</v>
      </c>
      <c r="E16" s="80">
        <v>0.92</v>
      </c>
      <c r="F16" s="80">
        <v>0.94</v>
      </c>
      <c r="G16" s="80">
        <v>0.83</v>
      </c>
      <c r="H16" s="80">
        <v>0.9</v>
      </c>
      <c r="I16" s="80">
        <v>0.87</v>
      </c>
      <c r="J16" s="80">
        <v>0.78</v>
      </c>
    </row>
    <row r="17" spans="2:15" ht="41.25" customHeight="1" x14ac:dyDescent="0.2">
      <c r="B17" s="739" t="s">
        <v>262</v>
      </c>
      <c r="C17" s="739"/>
      <c r="D17" s="80">
        <v>0.62</v>
      </c>
      <c r="E17" s="80">
        <v>0.7</v>
      </c>
      <c r="F17" s="80">
        <v>0.66</v>
      </c>
      <c r="G17" s="80">
        <v>0.69</v>
      </c>
      <c r="H17" s="80">
        <v>0.67849999999999999</v>
      </c>
      <c r="I17" s="80">
        <v>0.79</v>
      </c>
      <c r="J17" s="80">
        <v>0.8</v>
      </c>
    </row>
    <row r="18" spans="2:15" ht="41.25" customHeight="1" x14ac:dyDescent="0.2">
      <c r="B18" s="739" t="s">
        <v>221</v>
      </c>
      <c r="C18" s="739"/>
      <c r="D18" s="80">
        <v>0.82</v>
      </c>
      <c r="E18" s="80">
        <v>0.94</v>
      </c>
      <c r="F18" s="80">
        <v>0.87</v>
      </c>
      <c r="G18" s="80">
        <v>0.88</v>
      </c>
      <c r="H18" s="80">
        <v>0.86529999999999996</v>
      </c>
      <c r="I18" s="80">
        <v>0.85</v>
      </c>
      <c r="J18" s="80">
        <v>0.88</v>
      </c>
    </row>
    <row r="19" spans="2:15" ht="41.25" customHeight="1" x14ac:dyDescent="0.2">
      <c r="B19" s="739" t="s">
        <v>294</v>
      </c>
      <c r="C19" s="739"/>
      <c r="D19" s="80">
        <v>0.99</v>
      </c>
      <c r="E19" s="80">
        <v>0.89</v>
      </c>
      <c r="F19" s="80">
        <v>0.96</v>
      </c>
      <c r="G19" s="80">
        <v>0.91</v>
      </c>
      <c r="H19" s="80">
        <v>0.86</v>
      </c>
      <c r="I19" s="80">
        <v>0.9</v>
      </c>
      <c r="J19" s="80">
        <v>0.92</v>
      </c>
      <c r="K19" s="20"/>
      <c r="L19" s="25"/>
      <c r="M19" s="25"/>
    </row>
    <row r="20" spans="2:15" ht="41.25" customHeight="1" x14ac:dyDescent="0.2">
      <c r="B20" s="813" t="s">
        <v>295</v>
      </c>
      <c r="C20" s="814"/>
      <c r="D20" s="80">
        <v>0.96</v>
      </c>
      <c r="E20" s="80">
        <v>0.85</v>
      </c>
      <c r="F20" s="80">
        <v>1</v>
      </c>
      <c r="G20" s="80">
        <v>0.92</v>
      </c>
      <c r="H20" s="80">
        <v>0.93</v>
      </c>
      <c r="I20" s="80">
        <v>0.87</v>
      </c>
      <c r="J20" s="80">
        <v>0.92</v>
      </c>
      <c r="K20" s="20"/>
      <c r="L20" s="25"/>
      <c r="M20" s="25"/>
    </row>
    <row r="21" spans="2:15" ht="41.25" customHeight="1" x14ac:dyDescent="0.2">
      <c r="B21" s="739" t="s">
        <v>224</v>
      </c>
      <c r="C21" s="739"/>
      <c r="D21" s="80">
        <v>0.49</v>
      </c>
      <c r="E21" s="80">
        <v>0.49</v>
      </c>
      <c r="F21" s="80">
        <v>0.54</v>
      </c>
      <c r="G21" s="95">
        <v>0.44</v>
      </c>
      <c r="H21" s="141">
        <v>0.69310000000000005</v>
      </c>
      <c r="I21" s="141">
        <v>0.37</v>
      </c>
      <c r="J21" s="95">
        <v>0.74</v>
      </c>
      <c r="K21" s="20"/>
      <c r="L21" s="25"/>
      <c r="M21" s="25"/>
    </row>
    <row r="22" spans="2:15" ht="41.25" customHeight="1" x14ac:dyDescent="0.2">
      <c r="B22" s="739" t="s">
        <v>306</v>
      </c>
      <c r="C22" s="739"/>
      <c r="D22" s="34" t="s">
        <v>264</v>
      </c>
      <c r="E22" s="80">
        <v>0.7</v>
      </c>
      <c r="F22" s="80">
        <v>0.86</v>
      </c>
      <c r="G22" s="80">
        <v>0.88</v>
      </c>
      <c r="H22" s="80">
        <v>0.88939999999999997</v>
      </c>
      <c r="I22" s="80">
        <v>0.86</v>
      </c>
      <c r="J22" s="80">
        <v>0.92</v>
      </c>
      <c r="K22" s="20"/>
      <c r="L22" s="25"/>
      <c r="M22" s="25"/>
    </row>
    <row r="23" spans="2:15" ht="41.25" customHeight="1" x14ac:dyDescent="0.2">
      <c r="B23" s="739" t="s">
        <v>226</v>
      </c>
      <c r="C23" s="739"/>
      <c r="D23" s="80">
        <v>0.66</v>
      </c>
      <c r="E23" s="80">
        <v>0.8</v>
      </c>
      <c r="F23" s="80">
        <v>0.74</v>
      </c>
      <c r="G23" s="80">
        <v>0.78</v>
      </c>
      <c r="H23" s="80">
        <v>0.73199999999999998</v>
      </c>
      <c r="I23" s="80">
        <v>0.71</v>
      </c>
      <c r="J23" s="80">
        <v>0.76</v>
      </c>
    </row>
    <row r="24" spans="2:15" ht="41.25" customHeight="1" x14ac:dyDescent="0.2">
      <c r="B24" s="739" t="s">
        <v>227</v>
      </c>
      <c r="C24" s="739"/>
      <c r="D24" s="80">
        <v>0.82</v>
      </c>
      <c r="E24" s="80">
        <v>0.65</v>
      </c>
      <c r="F24" s="80">
        <v>0.79</v>
      </c>
      <c r="G24" s="80">
        <v>0.77</v>
      </c>
      <c r="H24" s="80">
        <v>0.81359999999999999</v>
      </c>
      <c r="I24" s="80">
        <v>0.81</v>
      </c>
      <c r="J24" s="80">
        <v>0.91</v>
      </c>
      <c r="K24" s="50"/>
      <c r="L24" s="50"/>
      <c r="M24" s="50"/>
      <c r="N24" s="50"/>
      <c r="O24" s="50"/>
    </row>
    <row r="25" spans="2:15" ht="41.25" customHeight="1" x14ac:dyDescent="0.2">
      <c r="B25" s="739" t="s">
        <v>228</v>
      </c>
      <c r="C25" s="739"/>
      <c r="D25" s="80">
        <v>0.68</v>
      </c>
      <c r="E25" s="80">
        <v>0.72</v>
      </c>
      <c r="F25" s="80">
        <v>0.78</v>
      </c>
      <c r="G25" s="80">
        <v>0.77</v>
      </c>
      <c r="H25" s="80">
        <v>0.80940000000000001</v>
      </c>
      <c r="I25" s="80">
        <v>0.72</v>
      </c>
      <c r="J25" s="80">
        <v>0.76</v>
      </c>
      <c r="K25" s="50"/>
      <c r="L25" s="50"/>
      <c r="M25" s="50"/>
      <c r="N25" s="50"/>
      <c r="O25" s="50"/>
    </row>
    <row r="26" spans="2:15" ht="22.5" customHeight="1" x14ac:dyDescent="0.25">
      <c r="B26" s="877">
        <f>D5</f>
        <v>0.7</v>
      </c>
      <c r="C26" s="878"/>
      <c r="D26" s="53">
        <f t="shared" ref="D26:J26" si="0">COUNTIF(D15:D25,"&gt;="&amp;D28)</f>
        <v>6</v>
      </c>
      <c r="E26" s="53">
        <f t="shared" si="0"/>
        <v>9</v>
      </c>
      <c r="F26" s="53">
        <f t="shared" si="0"/>
        <v>9</v>
      </c>
      <c r="G26" s="53">
        <f t="shared" si="0"/>
        <v>9</v>
      </c>
      <c r="H26" s="53">
        <f t="shared" si="0"/>
        <v>9</v>
      </c>
      <c r="I26" s="53">
        <f t="shared" si="0"/>
        <v>10</v>
      </c>
      <c r="J26" s="53">
        <f t="shared" si="0"/>
        <v>11</v>
      </c>
    </row>
    <row r="27" spans="2:15" ht="22.5" customHeight="1" x14ac:dyDescent="0.25">
      <c r="B27" s="734" t="s">
        <v>248</v>
      </c>
      <c r="C27" s="734"/>
      <c r="D27" s="90">
        <f t="shared" ref="D27:J27" si="1">COUNT(D15:D25)</f>
        <v>10</v>
      </c>
      <c r="E27" s="90">
        <f t="shared" si="1"/>
        <v>11</v>
      </c>
      <c r="F27" s="90">
        <f t="shared" si="1"/>
        <v>11</v>
      </c>
      <c r="G27" s="90">
        <f t="shared" si="1"/>
        <v>11</v>
      </c>
      <c r="H27" s="90">
        <f t="shared" si="1"/>
        <v>11</v>
      </c>
      <c r="I27" s="90">
        <f t="shared" si="1"/>
        <v>11</v>
      </c>
      <c r="J27" s="90">
        <f t="shared" si="1"/>
        <v>11</v>
      </c>
    </row>
    <row r="28" spans="2:15" ht="22.5" customHeight="1" x14ac:dyDescent="0.2">
      <c r="B28" s="730" t="s">
        <v>207</v>
      </c>
      <c r="C28" s="787"/>
      <c r="D28" s="95">
        <f>$D$5</f>
        <v>0.7</v>
      </c>
      <c r="E28" s="95">
        <f t="shared" ref="E28:J28" si="2">$D$5</f>
        <v>0.7</v>
      </c>
      <c r="F28" s="95">
        <f t="shared" si="2"/>
        <v>0.7</v>
      </c>
      <c r="G28" s="95">
        <f t="shared" si="2"/>
        <v>0.7</v>
      </c>
      <c r="H28" s="95">
        <f t="shared" si="2"/>
        <v>0.7</v>
      </c>
      <c r="I28" s="95">
        <f t="shared" si="2"/>
        <v>0.7</v>
      </c>
      <c r="J28" s="95">
        <f t="shared" si="2"/>
        <v>0.7</v>
      </c>
    </row>
    <row r="29" spans="2:15" ht="22.5" customHeight="1" x14ac:dyDescent="0.2">
      <c r="B29" s="730" t="s">
        <v>208</v>
      </c>
      <c r="C29" s="787"/>
      <c r="D29" s="54">
        <f t="shared" ref="D29:J29" si="3">D26/D27</f>
        <v>0.6</v>
      </c>
      <c r="E29" s="54">
        <f t="shared" si="3"/>
        <v>0.81818181818181823</v>
      </c>
      <c r="F29" s="54">
        <f t="shared" si="3"/>
        <v>0.81818181818181823</v>
      </c>
      <c r="G29" s="54">
        <f t="shared" si="3"/>
        <v>0.81818181818181823</v>
      </c>
      <c r="H29" s="54">
        <f t="shared" si="3"/>
        <v>0.81818181818181823</v>
      </c>
      <c r="I29" s="54">
        <f t="shared" si="3"/>
        <v>0.90909090909090906</v>
      </c>
      <c r="J29" s="54">
        <f t="shared" si="3"/>
        <v>1</v>
      </c>
    </row>
    <row r="30" spans="2:15" ht="22.5" customHeight="1" x14ac:dyDescent="0.25">
      <c r="B30" s="7"/>
      <c r="C30" s="7"/>
      <c r="D30" s="6"/>
      <c r="E30" s="6"/>
      <c r="F30" s="6"/>
      <c r="G30" s="6"/>
      <c r="H30" s="6"/>
      <c r="I30" s="6"/>
      <c r="J30" s="6"/>
    </row>
    <row r="31" spans="2:15" ht="22.5" customHeight="1" x14ac:dyDescent="0.2">
      <c r="B31" s="567" t="s">
        <v>209</v>
      </c>
      <c r="C31" s="568"/>
      <c r="D31" s="568"/>
      <c r="E31" s="569"/>
      <c r="F31" s="8"/>
      <c r="L31" s="567" t="s">
        <v>210</v>
      </c>
      <c r="M31" s="568"/>
      <c r="N31" s="568"/>
      <c r="O31" s="569"/>
    </row>
    <row r="32" spans="2:15" ht="22.5" customHeight="1" x14ac:dyDescent="0.2">
      <c r="B32" s="8"/>
      <c r="C32" s="8"/>
      <c r="D32" s="8"/>
      <c r="E32" s="8"/>
      <c r="F32" s="8"/>
      <c r="L32" s="9"/>
      <c r="M32" s="9"/>
      <c r="N32" s="9"/>
      <c r="O32" s="9"/>
    </row>
    <row r="33" spans="2:15" ht="6" customHeight="1" x14ac:dyDescent="0.2">
      <c r="B33" s="8"/>
      <c r="C33" s="8"/>
      <c r="D33" s="8"/>
      <c r="E33" s="8"/>
      <c r="F33" s="8"/>
      <c r="L33" s="709" t="s">
        <v>335</v>
      </c>
      <c r="M33" s="571"/>
      <c r="N33" s="571"/>
      <c r="O33" s="572"/>
    </row>
    <row r="34" spans="2:15" ht="19.5" customHeight="1" x14ac:dyDescent="0.2">
      <c r="B34" s="8"/>
      <c r="C34" s="8"/>
      <c r="D34" s="8"/>
      <c r="E34" s="8"/>
      <c r="F34" s="8"/>
      <c r="L34" s="573"/>
      <c r="M34" s="574"/>
      <c r="N34" s="574"/>
      <c r="O34" s="575"/>
    </row>
    <row r="35" spans="2:15" ht="19.5" customHeight="1" x14ac:dyDescent="0.2">
      <c r="L35" s="573"/>
      <c r="M35" s="574"/>
      <c r="N35" s="574"/>
      <c r="O35" s="575"/>
    </row>
    <row r="36" spans="2:15" ht="19.5" customHeight="1" x14ac:dyDescent="0.2">
      <c r="L36" s="573"/>
      <c r="M36" s="574"/>
      <c r="N36" s="574"/>
      <c r="O36" s="575"/>
    </row>
    <row r="37" spans="2:15" ht="19.5" customHeight="1" x14ac:dyDescent="0.2">
      <c r="L37" s="573"/>
      <c r="M37" s="574"/>
      <c r="N37" s="574"/>
      <c r="O37" s="575"/>
    </row>
    <row r="38" spans="2:15" ht="19.5" customHeight="1" x14ac:dyDescent="0.2">
      <c r="L38" s="573"/>
      <c r="M38" s="574"/>
      <c r="N38" s="574"/>
      <c r="O38" s="575"/>
    </row>
    <row r="39" spans="2:15" ht="19.5" customHeight="1" x14ac:dyDescent="0.2">
      <c r="L39" s="573"/>
      <c r="M39" s="574"/>
      <c r="N39" s="574"/>
      <c r="O39" s="575"/>
    </row>
    <row r="40" spans="2:15" ht="19.5" customHeight="1" x14ac:dyDescent="0.2">
      <c r="L40" s="573"/>
      <c r="M40" s="574"/>
      <c r="N40" s="574"/>
      <c r="O40" s="575"/>
    </row>
    <row r="41" spans="2:15" ht="19.5" customHeight="1" x14ac:dyDescent="0.2">
      <c r="L41" s="576"/>
      <c r="M41" s="577"/>
      <c r="N41" s="577"/>
      <c r="O41" s="578"/>
    </row>
    <row r="42" spans="2:15" ht="19.5" customHeight="1" x14ac:dyDescent="0.2"/>
    <row r="43" spans="2:15" ht="19.5" customHeight="1" x14ac:dyDescent="0.2">
      <c r="H43" s="559" t="s">
        <v>155</v>
      </c>
      <c r="I43" s="560"/>
      <c r="J43" s="560"/>
    </row>
  </sheetData>
  <sheetProtection formatCells="0" formatColumns="0" formatRows="0" insertColumns="0" insertRows="0" insertHyperlinks="0" deleteColumns="0" deleteRows="0" pivotTables="0"/>
  <mergeCells count="46">
    <mergeCell ref="D5:E5"/>
    <mergeCell ref="F5:G5"/>
    <mergeCell ref="H5:J5"/>
    <mergeCell ref="B7:C7"/>
    <mergeCell ref="D7:E7"/>
    <mergeCell ref="F7:G7"/>
    <mergeCell ref="B6:C6"/>
    <mergeCell ref="D6:E6"/>
    <mergeCell ref="F6:G6"/>
    <mergeCell ref="H6:J6"/>
    <mergeCell ref="H7:J7"/>
    <mergeCell ref="B5:C5"/>
    <mergeCell ref="B2:D2"/>
    <mergeCell ref="E2:J2"/>
    <mergeCell ref="B4:C4"/>
    <mergeCell ref="D4:E4"/>
    <mergeCell ref="F4:G4"/>
    <mergeCell ref="H4:J4"/>
    <mergeCell ref="B20:C20"/>
    <mergeCell ref="B27:C27"/>
    <mergeCell ref="D8:E8"/>
    <mergeCell ref="F8:G8"/>
    <mergeCell ref="B28:C28"/>
    <mergeCell ref="B9:C9"/>
    <mergeCell ref="B8:C8"/>
    <mergeCell ref="B21:C21"/>
    <mergeCell ref="B22:C22"/>
    <mergeCell ref="B23:C23"/>
    <mergeCell ref="B24:C24"/>
    <mergeCell ref="B25:C25"/>
    <mergeCell ref="H43:J43"/>
    <mergeCell ref="B29:C29"/>
    <mergeCell ref="B31:E31"/>
    <mergeCell ref="L31:O31"/>
    <mergeCell ref="H8:J8"/>
    <mergeCell ref="D9:E9"/>
    <mergeCell ref="F9:G9"/>
    <mergeCell ref="H9:J9"/>
    <mergeCell ref="L33:O41"/>
    <mergeCell ref="B26:C26"/>
    <mergeCell ref="B11:J11"/>
    <mergeCell ref="B15:C15"/>
    <mergeCell ref="B16:C16"/>
    <mergeCell ref="B17:C17"/>
    <mergeCell ref="B18:C18"/>
    <mergeCell ref="B19:C19"/>
  </mergeCells>
  <phoneticPr fontId="95" type="noConversion"/>
  <conditionalFormatting sqref="D15:J25">
    <cfRule type="cellIs" dxfId="32" priority="1" operator="lessThan">
      <formula>0.7</formula>
    </cfRule>
  </conditionalFormatting>
  <pageMargins left="0.7" right="0.7" top="0.75" bottom="0.75" header="0" footer="0"/>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502A-E575-473B-B953-CFAD7CAF91E5}">
  <sheetPr>
    <tabColor theme="9" tint="-0.499984740745262"/>
    <pageSetUpPr fitToPage="1"/>
  </sheetPr>
  <dimension ref="B2:N44"/>
  <sheetViews>
    <sheetView showGridLines="0" workbookViewId="0">
      <selection activeCell="H8" sqref="H8:J8"/>
    </sheetView>
  </sheetViews>
  <sheetFormatPr defaultColWidth="12.5703125" defaultRowHeight="15.75" customHeight="1" x14ac:dyDescent="0.2"/>
  <cols>
    <col min="1" max="1" width="3.42578125" customWidth="1"/>
    <col min="2" max="2" width="14.140625" customWidth="1"/>
    <col min="3" max="3" width="17.42578125" customWidth="1"/>
    <col min="4" max="4" width="17.28515625" customWidth="1"/>
    <col min="5" max="5" width="14.140625" customWidth="1"/>
    <col min="6"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Índex!B38</f>
        <v>PC3.02_Ind01.</v>
      </c>
      <c r="E4" s="716"/>
      <c r="F4" s="567" t="s">
        <v>194</v>
      </c>
      <c r="G4" s="569"/>
      <c r="H4" s="718" t="str">
        <f>Índex!C38</f>
        <v xml:space="preserve">Valoració mitjana a l’afirmació “La tutorització ha estat útil i ha contribuït a millorar el meu aprenentatge” per titulació (objectiu ≥3 sobre 5) </v>
      </c>
      <c r="I4" s="715"/>
      <c r="J4" s="716"/>
    </row>
    <row r="5" spans="2:10" ht="22.5" customHeight="1" x14ac:dyDescent="0.2">
      <c r="B5" s="567" t="s">
        <v>195</v>
      </c>
      <c r="C5" s="569"/>
      <c r="D5" s="718" t="str">
        <f>Índex!F38</f>
        <v>≥3</v>
      </c>
      <c r="E5" s="716"/>
      <c r="F5" s="567" t="s">
        <v>196</v>
      </c>
      <c r="G5" s="569"/>
      <c r="H5" s="718" t="s">
        <v>216</v>
      </c>
      <c r="I5" s="715"/>
      <c r="J5" s="716"/>
    </row>
    <row r="6" spans="2:10" ht="39.75" customHeight="1" x14ac:dyDescent="0.2">
      <c r="B6" s="567" t="s">
        <v>471</v>
      </c>
      <c r="C6" s="569"/>
      <c r="D6" s="718" t="str">
        <f>Índex!H38</f>
        <v>Objectiu de Qualitat. Grups d'interès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22.5" customHeight="1" x14ac:dyDescent="0.2">
      <c r="B8" s="567" t="s">
        <v>465</v>
      </c>
      <c r="C8" s="569"/>
      <c r="D8" s="718" t="str">
        <f>Índex!D38</f>
        <v>Vicedegà d'Alumnat i de Promoció</v>
      </c>
      <c r="E8" s="716"/>
      <c r="F8" s="567" t="s">
        <v>472</v>
      </c>
      <c r="G8" s="569"/>
      <c r="H8" s="718" t="str">
        <f>Índex!E38</f>
        <v>Gestora de Qualitat</v>
      </c>
      <c r="I8" s="715"/>
      <c r="J8" s="716"/>
    </row>
    <row r="9" spans="2:10" ht="39.75" customHeight="1" x14ac:dyDescent="0.2">
      <c r="B9" s="567" t="s">
        <v>461</v>
      </c>
      <c r="C9" s="569"/>
      <c r="D9" s="718" t="str">
        <f>Índex!G38</f>
        <v>PC3.02. Tutorització de l’Alumnat</v>
      </c>
      <c r="E9" s="716"/>
      <c r="F9" s="567" t="s">
        <v>467</v>
      </c>
      <c r="G9" s="569"/>
      <c r="H9" s="718" t="s">
        <v>519</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9" t="s">
        <v>200</v>
      </c>
      <c r="E14" s="89" t="s">
        <v>201</v>
      </c>
      <c r="F14" s="89" t="s">
        <v>202</v>
      </c>
      <c r="G14" s="89" t="s">
        <v>203</v>
      </c>
      <c r="H14" s="89" t="s">
        <v>204</v>
      </c>
      <c r="I14" s="89" t="s">
        <v>205</v>
      </c>
    </row>
    <row r="15" spans="2:10" ht="41.25" customHeight="1" x14ac:dyDescent="0.2">
      <c r="B15" s="739" t="s">
        <v>218</v>
      </c>
      <c r="C15" s="739"/>
      <c r="D15" s="81">
        <v>3</v>
      </c>
      <c r="E15" s="81" t="s">
        <v>213</v>
      </c>
      <c r="F15" s="81">
        <v>2</v>
      </c>
      <c r="G15" s="81">
        <v>3.4</v>
      </c>
      <c r="H15" s="422">
        <v>2.69</v>
      </c>
      <c r="I15" s="366">
        <v>3.38</v>
      </c>
    </row>
    <row r="16" spans="2:10" ht="41.25" customHeight="1" x14ac:dyDescent="0.2">
      <c r="B16" s="739" t="s">
        <v>235</v>
      </c>
      <c r="C16" s="739"/>
      <c r="D16" s="81" t="s">
        <v>213</v>
      </c>
      <c r="E16" s="81" t="s">
        <v>213</v>
      </c>
      <c r="F16" s="81">
        <v>2.6</v>
      </c>
      <c r="G16" s="81">
        <v>3</v>
      </c>
      <c r="H16" s="422">
        <v>3.86</v>
      </c>
      <c r="I16" s="366">
        <v>3</v>
      </c>
    </row>
    <row r="17" spans="2:14" ht="41.25" customHeight="1" x14ac:dyDescent="0.2">
      <c r="B17" s="739" t="s">
        <v>262</v>
      </c>
      <c r="C17" s="739"/>
      <c r="D17" s="81" t="s">
        <v>213</v>
      </c>
      <c r="E17" s="81">
        <v>3.8</v>
      </c>
      <c r="F17" s="81">
        <v>3.5</v>
      </c>
      <c r="G17" s="81">
        <v>3</v>
      </c>
      <c r="H17" s="422">
        <v>2.83</v>
      </c>
      <c r="I17" s="366">
        <v>2.75</v>
      </c>
    </row>
    <row r="18" spans="2:14" ht="41.25" customHeight="1" x14ac:dyDescent="0.2">
      <c r="B18" s="739" t="s">
        <v>221</v>
      </c>
      <c r="C18" s="739"/>
      <c r="D18" s="81">
        <v>1.89</v>
      </c>
      <c r="E18" s="81">
        <v>2.4300000000000002</v>
      </c>
      <c r="F18" s="81">
        <v>2.62</v>
      </c>
      <c r="G18" s="423">
        <v>2.5</v>
      </c>
      <c r="H18" s="422">
        <v>2.68</v>
      </c>
      <c r="I18" s="366">
        <v>3.4</v>
      </c>
    </row>
    <row r="19" spans="2:14" ht="41.25" customHeight="1" x14ac:dyDescent="0.2">
      <c r="B19" s="739" t="s">
        <v>294</v>
      </c>
      <c r="C19" s="739"/>
      <c r="D19" s="81" t="s">
        <v>213</v>
      </c>
      <c r="E19" s="81" t="s">
        <v>213</v>
      </c>
      <c r="F19" s="81" t="s">
        <v>213</v>
      </c>
      <c r="G19" s="81">
        <v>4</v>
      </c>
      <c r="H19" s="422">
        <v>2.89</v>
      </c>
      <c r="I19" s="366">
        <v>3.57</v>
      </c>
      <c r="K19" s="20"/>
      <c r="L19" s="25"/>
      <c r="M19" s="25"/>
    </row>
    <row r="20" spans="2:14" ht="41.25" customHeight="1" x14ac:dyDescent="0.2">
      <c r="B20" s="739" t="s">
        <v>295</v>
      </c>
      <c r="C20" s="739"/>
      <c r="D20" s="81">
        <v>2.5</v>
      </c>
      <c r="E20" s="81">
        <v>3.29</v>
      </c>
      <c r="F20" s="81" t="s">
        <v>213</v>
      </c>
      <c r="G20" s="81">
        <v>3.5</v>
      </c>
      <c r="H20" s="422">
        <v>3.88</v>
      </c>
      <c r="I20" s="366">
        <v>3.17</v>
      </c>
      <c r="K20" s="20"/>
      <c r="L20" s="25"/>
      <c r="M20" s="25"/>
    </row>
    <row r="21" spans="2:14" ht="41.25" customHeight="1" x14ac:dyDescent="0.2">
      <c r="B21" s="739" t="s">
        <v>224</v>
      </c>
      <c r="C21" s="739"/>
      <c r="D21" s="81">
        <v>3.6</v>
      </c>
      <c r="E21" s="81" t="s">
        <v>213</v>
      </c>
      <c r="F21" s="81" t="s">
        <v>213</v>
      </c>
      <c r="G21" s="81" t="s">
        <v>213</v>
      </c>
      <c r="H21" s="422">
        <v>3.14</v>
      </c>
      <c r="I21" s="366" t="s">
        <v>282</v>
      </c>
      <c r="K21" s="20"/>
      <c r="L21" s="25"/>
      <c r="M21" s="25"/>
    </row>
    <row r="22" spans="2:14" ht="41.25" customHeight="1" x14ac:dyDescent="0.2">
      <c r="B22" s="813" t="s">
        <v>336</v>
      </c>
      <c r="C22" s="814"/>
      <c r="D22" s="81" t="s">
        <v>213</v>
      </c>
      <c r="E22" s="81" t="s">
        <v>213</v>
      </c>
      <c r="F22" s="81" t="s">
        <v>213</v>
      </c>
      <c r="G22" s="81" t="s">
        <v>213</v>
      </c>
      <c r="H22" s="422">
        <v>4</v>
      </c>
      <c r="I22" s="366">
        <v>3.55</v>
      </c>
      <c r="K22" s="20"/>
      <c r="L22" s="25"/>
      <c r="M22" s="25"/>
    </row>
    <row r="23" spans="2:14" ht="41.25" customHeight="1" x14ac:dyDescent="0.2">
      <c r="B23" s="739" t="s">
        <v>226</v>
      </c>
      <c r="C23" s="739"/>
      <c r="D23" s="81">
        <v>3.3</v>
      </c>
      <c r="E23" s="81">
        <v>3.07</v>
      </c>
      <c r="F23" s="81">
        <v>3.09</v>
      </c>
      <c r="G23" s="81">
        <v>2.4</v>
      </c>
      <c r="H23" s="422">
        <v>3.4</v>
      </c>
      <c r="I23" s="366">
        <v>3.36</v>
      </c>
    </row>
    <row r="24" spans="2:14" ht="41.25" customHeight="1" x14ac:dyDescent="0.2">
      <c r="B24" s="739" t="s">
        <v>227</v>
      </c>
      <c r="C24" s="739"/>
      <c r="D24" s="81">
        <v>2.82</v>
      </c>
      <c r="E24" s="81">
        <v>2.56</v>
      </c>
      <c r="F24" s="81">
        <v>3.4</v>
      </c>
      <c r="G24" s="81">
        <v>1.5</v>
      </c>
      <c r="H24" s="422">
        <v>3.27</v>
      </c>
      <c r="I24" s="366">
        <v>3.07</v>
      </c>
      <c r="K24" s="50"/>
      <c r="L24" s="50"/>
      <c r="M24" s="50"/>
      <c r="N24" s="50"/>
    </row>
    <row r="25" spans="2:14" ht="41.25" customHeight="1" x14ac:dyDescent="0.2">
      <c r="B25" s="739" t="s">
        <v>228</v>
      </c>
      <c r="C25" s="739"/>
      <c r="D25" s="81">
        <v>3.23</v>
      </c>
      <c r="E25" s="81">
        <v>3</v>
      </c>
      <c r="F25" s="81">
        <v>3.25</v>
      </c>
      <c r="G25" s="81">
        <v>3.75</v>
      </c>
      <c r="H25" s="422">
        <v>3.53</v>
      </c>
      <c r="I25" s="366">
        <v>4</v>
      </c>
      <c r="K25" s="50"/>
      <c r="L25" s="50"/>
      <c r="M25" s="50"/>
      <c r="N25" s="50"/>
    </row>
    <row r="26" spans="2:14" ht="22.5" customHeight="1" x14ac:dyDescent="0.25">
      <c r="B26" s="880" t="s">
        <v>337</v>
      </c>
      <c r="C26" s="880"/>
      <c r="D26" s="53">
        <f t="shared" ref="D26:I26" si="0">COUNTIF(D15:D25,"&gt;="&amp;D28)</f>
        <v>4</v>
      </c>
      <c r="E26" s="53">
        <f t="shared" si="0"/>
        <v>4</v>
      </c>
      <c r="F26" s="53">
        <f t="shared" si="0"/>
        <v>4</v>
      </c>
      <c r="G26" s="53">
        <f t="shared" si="0"/>
        <v>6</v>
      </c>
      <c r="H26" s="53">
        <f t="shared" si="0"/>
        <v>7</v>
      </c>
      <c r="I26" s="53">
        <f t="shared" si="0"/>
        <v>9</v>
      </c>
    </row>
    <row r="27" spans="2:14" ht="22.5" customHeight="1" x14ac:dyDescent="0.25">
      <c r="B27" s="775" t="s">
        <v>248</v>
      </c>
      <c r="C27" s="775"/>
      <c r="D27" s="48">
        <f t="shared" ref="D27:I27" si="1">COUNT(D15:D25)</f>
        <v>7</v>
      </c>
      <c r="E27" s="48">
        <f t="shared" si="1"/>
        <v>6</v>
      </c>
      <c r="F27" s="48">
        <f t="shared" si="1"/>
        <v>7</v>
      </c>
      <c r="G27" s="48">
        <f t="shared" si="1"/>
        <v>9</v>
      </c>
      <c r="H27" s="48">
        <f t="shared" si="1"/>
        <v>11</v>
      </c>
      <c r="I27" s="48">
        <f t="shared" si="1"/>
        <v>10</v>
      </c>
    </row>
    <row r="28" spans="2:14" ht="22.5" customHeight="1" x14ac:dyDescent="0.2">
      <c r="B28" s="837" t="s">
        <v>207</v>
      </c>
      <c r="C28" s="838"/>
      <c r="D28" s="55">
        <v>3</v>
      </c>
      <c r="E28" s="55">
        <v>3</v>
      </c>
      <c r="F28" s="55">
        <v>3</v>
      </c>
      <c r="G28" s="55">
        <v>3</v>
      </c>
      <c r="H28" s="55">
        <v>3</v>
      </c>
      <c r="I28" s="55">
        <v>3</v>
      </c>
    </row>
    <row r="29" spans="2:14" ht="22.5" customHeight="1" x14ac:dyDescent="0.2">
      <c r="B29" s="799" t="s">
        <v>208</v>
      </c>
      <c r="C29" s="879"/>
      <c r="D29" s="54">
        <f t="shared" ref="D29:I29" si="2">D26/D27</f>
        <v>0.5714285714285714</v>
      </c>
      <c r="E29" s="54">
        <f t="shared" si="2"/>
        <v>0.66666666666666663</v>
      </c>
      <c r="F29" s="54">
        <f t="shared" si="2"/>
        <v>0.5714285714285714</v>
      </c>
      <c r="G29" s="54">
        <f t="shared" si="2"/>
        <v>0.66666666666666663</v>
      </c>
      <c r="H29" s="54">
        <f t="shared" si="2"/>
        <v>0.63636363636363635</v>
      </c>
      <c r="I29" s="54">
        <f t="shared" si="2"/>
        <v>0.9</v>
      </c>
    </row>
    <row r="30" spans="2:14" ht="22.5" customHeight="1" x14ac:dyDescent="0.2">
      <c r="B30" s="837" t="s">
        <v>338</v>
      </c>
      <c r="C30" s="838"/>
      <c r="D30" s="54">
        <v>0.21740000000000001</v>
      </c>
      <c r="E30" s="54">
        <v>0.2369</v>
      </c>
      <c r="F30" s="54">
        <v>0.2334</v>
      </c>
      <c r="G30" s="54">
        <v>7.1800000000000003E-2</v>
      </c>
      <c r="H30" s="54">
        <v>0.34379999999999999</v>
      </c>
      <c r="I30" s="35">
        <v>0.28270000000000001</v>
      </c>
    </row>
    <row r="31" spans="2:14" ht="22.5" customHeight="1" x14ac:dyDescent="0.25">
      <c r="B31" s="7"/>
      <c r="C31" s="7"/>
      <c r="D31" s="6"/>
      <c r="E31" s="6"/>
      <c r="F31" s="6"/>
      <c r="G31" s="6"/>
      <c r="H31" s="6"/>
      <c r="I31" s="6"/>
    </row>
    <row r="32" spans="2:14" ht="22.5" customHeight="1" x14ac:dyDescent="0.2">
      <c r="B32" s="567" t="s">
        <v>209</v>
      </c>
      <c r="C32" s="568"/>
      <c r="D32" s="568"/>
      <c r="E32" s="569"/>
      <c r="F32" s="8"/>
      <c r="K32" s="567" t="s">
        <v>210</v>
      </c>
      <c r="L32" s="568"/>
      <c r="M32" s="568"/>
      <c r="N32" s="569"/>
    </row>
    <row r="33" spans="2:14" ht="22.5" customHeight="1" x14ac:dyDescent="0.2">
      <c r="B33" s="8"/>
      <c r="C33" s="8"/>
      <c r="D33" s="8"/>
      <c r="E33" s="8"/>
      <c r="F33" s="8"/>
      <c r="K33" s="9"/>
      <c r="L33" s="9"/>
      <c r="M33" s="9"/>
      <c r="N33" s="9"/>
    </row>
    <row r="34" spans="2:14" ht="6" customHeight="1" x14ac:dyDescent="0.2">
      <c r="B34" s="8"/>
      <c r="C34" s="8"/>
      <c r="D34" s="8"/>
      <c r="E34" s="8"/>
      <c r="F34" s="8"/>
      <c r="K34" s="709" t="s">
        <v>585</v>
      </c>
      <c r="L34" s="571"/>
      <c r="M34" s="571"/>
      <c r="N34" s="572"/>
    </row>
    <row r="35" spans="2:14" ht="19.5" customHeight="1" x14ac:dyDescent="0.2">
      <c r="K35" s="573"/>
      <c r="L35" s="574"/>
      <c r="M35" s="574"/>
      <c r="N35" s="575"/>
    </row>
    <row r="36" spans="2:14" ht="19.5" customHeight="1" x14ac:dyDescent="0.2">
      <c r="K36" s="573"/>
      <c r="L36" s="574"/>
      <c r="M36" s="574"/>
      <c r="N36" s="575"/>
    </row>
    <row r="37" spans="2:14" ht="19.5" customHeight="1" x14ac:dyDescent="0.2">
      <c r="K37" s="573"/>
      <c r="L37" s="574"/>
      <c r="M37" s="574"/>
      <c r="N37" s="575"/>
    </row>
    <row r="38" spans="2:14" ht="19.5" customHeight="1" x14ac:dyDescent="0.2">
      <c r="K38" s="573"/>
      <c r="L38" s="574"/>
      <c r="M38" s="574"/>
      <c r="N38" s="575"/>
    </row>
    <row r="39" spans="2:14" ht="19.5" customHeight="1" x14ac:dyDescent="0.2">
      <c r="K39" s="573"/>
      <c r="L39" s="574"/>
      <c r="M39" s="574"/>
      <c r="N39" s="575"/>
    </row>
    <row r="40" spans="2:14" ht="19.5" customHeight="1" x14ac:dyDescent="0.2">
      <c r="K40" s="573"/>
      <c r="L40" s="574"/>
      <c r="M40" s="574"/>
      <c r="N40" s="575"/>
    </row>
    <row r="41" spans="2:14" ht="19.5" customHeight="1" x14ac:dyDescent="0.2">
      <c r="K41" s="573"/>
      <c r="L41" s="574"/>
      <c r="M41" s="574"/>
      <c r="N41" s="575"/>
    </row>
    <row r="42" spans="2:14" ht="19.5" customHeight="1" x14ac:dyDescent="0.2">
      <c r="K42" s="576"/>
      <c r="L42" s="577"/>
      <c r="M42" s="577"/>
      <c r="N42" s="578"/>
    </row>
    <row r="43" spans="2:14" ht="19.5" customHeight="1" x14ac:dyDescent="0.2"/>
    <row r="44" spans="2:14" ht="19.5" customHeight="1" x14ac:dyDescent="0.2">
      <c r="H44" s="559" t="s">
        <v>155</v>
      </c>
      <c r="I44" s="560"/>
      <c r="J44" s="560"/>
    </row>
  </sheetData>
  <sheetProtection formatCells="0" formatColumns="0" formatRows="0" insertColumns="0" insertRows="0" insertHyperlinks="0" deleteColumns="0" deleteRows="0" pivotTables="0"/>
  <mergeCells count="47">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B19:C19"/>
    <mergeCell ref="B9:C9"/>
    <mergeCell ref="B11:J11"/>
    <mergeCell ref="B15:C15"/>
    <mergeCell ref="B16:C16"/>
    <mergeCell ref="B17:C17"/>
    <mergeCell ref="B18:C18"/>
    <mergeCell ref="K32:N32"/>
    <mergeCell ref="K34:N42"/>
    <mergeCell ref="B21:C21"/>
    <mergeCell ref="B23:C23"/>
    <mergeCell ref="B24:C24"/>
    <mergeCell ref="B25:C25"/>
    <mergeCell ref="B26:C26"/>
    <mergeCell ref="B22:C22"/>
    <mergeCell ref="B28:C28"/>
    <mergeCell ref="B30:C30"/>
    <mergeCell ref="H44:J44"/>
    <mergeCell ref="B20:C20"/>
    <mergeCell ref="B27:C27"/>
    <mergeCell ref="B29:C29"/>
    <mergeCell ref="B32:E32"/>
    <mergeCell ref="B8:C8"/>
    <mergeCell ref="D8:E8"/>
    <mergeCell ref="F8:G8"/>
    <mergeCell ref="H8:J8"/>
    <mergeCell ref="D9:E9"/>
    <mergeCell ref="F9:G9"/>
    <mergeCell ref="H9:J9"/>
  </mergeCells>
  <phoneticPr fontId="95" type="noConversion"/>
  <conditionalFormatting sqref="D15:I25">
    <cfRule type="cellIs" dxfId="31" priority="1" operator="lessThan">
      <formula>3</formula>
    </cfRule>
  </conditionalFormatting>
  <pageMargins left="0.7" right="0.7" top="0.75" bottom="0.75" header="0" footer="0"/>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2A9A3-8D2A-49FA-BD80-53C722DE46CC}">
  <sheetPr>
    <tabColor theme="9" tint="-0.499984740745262"/>
    <pageSetUpPr fitToPage="1"/>
  </sheetPr>
  <dimension ref="A2:N48"/>
  <sheetViews>
    <sheetView showGridLines="0" zoomScale="95" zoomScaleNormal="95" workbookViewId="0">
      <selection activeCell="H4" sqref="H4:J4"/>
    </sheetView>
  </sheetViews>
  <sheetFormatPr defaultColWidth="12.5703125" defaultRowHeight="15.75" customHeight="1" x14ac:dyDescent="0.2"/>
  <cols>
    <col min="1" max="1" width="8.42578125" customWidth="1"/>
    <col min="2" max="2" width="14.140625" customWidth="1"/>
    <col min="3" max="3" width="18.7109375" customWidth="1"/>
    <col min="4" max="4" width="17.28515625" bestFit="1" customWidth="1"/>
    <col min="5" max="9" width="12.5703125" customWidth="1"/>
    <col min="10" max="10" width="36.28515625" customWidth="1"/>
    <col min="11" max="11" width="8.85546875" customWidth="1"/>
    <col min="12" max="21" width="7.5703125" customWidth="1"/>
  </cols>
  <sheetData>
    <row r="2" spans="1:10" ht="55.5" customHeight="1" x14ac:dyDescent="0.2">
      <c r="B2" s="714"/>
      <c r="C2" s="715"/>
      <c r="D2" s="716"/>
      <c r="E2" s="717" t="s">
        <v>192</v>
      </c>
      <c r="F2" s="715"/>
      <c r="G2" s="715"/>
      <c r="H2" s="715"/>
      <c r="I2" s="715"/>
      <c r="J2" s="716"/>
    </row>
    <row r="3" spans="1:10" ht="22.5" customHeight="1" x14ac:dyDescent="0.2">
      <c r="B3" s="41"/>
      <c r="C3" s="41"/>
      <c r="D3" s="42"/>
      <c r="E3" s="42"/>
      <c r="F3" s="42"/>
      <c r="G3" s="42"/>
      <c r="H3" s="42"/>
      <c r="I3" s="42"/>
    </row>
    <row r="4" spans="1:10" ht="42" customHeight="1" x14ac:dyDescent="0.2">
      <c r="B4" s="788" t="s">
        <v>193</v>
      </c>
      <c r="C4" s="885"/>
      <c r="D4" s="800" t="str">
        <f>Índex!B39</f>
        <v xml:space="preserve">PC3.03_Ind01. </v>
      </c>
      <c r="E4" s="882"/>
      <c r="F4" s="788" t="s">
        <v>194</v>
      </c>
      <c r="G4" s="885"/>
      <c r="H4" s="800" t="str">
        <f>Índex!C39</f>
        <v xml:space="preserve">Nombre de convenis de mobilitat </v>
      </c>
      <c r="I4" s="882"/>
      <c r="J4" s="882"/>
    </row>
    <row r="5" spans="1:10" ht="22.5" customHeight="1" x14ac:dyDescent="0.2">
      <c r="B5" s="788" t="s">
        <v>195</v>
      </c>
      <c r="C5" s="885"/>
      <c r="D5" s="800">
        <f>Índex!F39</f>
        <v>100</v>
      </c>
      <c r="E5" s="800"/>
      <c r="F5" s="905" t="s">
        <v>196</v>
      </c>
      <c r="G5" s="885"/>
      <c r="H5" s="881" t="s">
        <v>216</v>
      </c>
      <c r="I5" s="882"/>
      <c r="J5" s="882"/>
    </row>
    <row r="6" spans="1:10" ht="22.5" customHeight="1" x14ac:dyDescent="0.2">
      <c r="B6" s="230" t="s">
        <v>630</v>
      </c>
      <c r="C6" s="544"/>
      <c r="D6" s="800" t="str">
        <f>Índex!H39</f>
        <v>Objectiu de Qualitat. Qualitat dels programes formatius</v>
      </c>
      <c r="E6" s="800"/>
      <c r="F6" s="883" t="s">
        <v>631</v>
      </c>
      <c r="G6" s="884"/>
      <c r="H6" s="881"/>
      <c r="I6" s="881"/>
      <c r="J6" s="881"/>
    </row>
    <row r="7" spans="1:10" ht="22.5" customHeight="1" x14ac:dyDescent="0.2">
      <c r="B7" s="788" t="s">
        <v>463</v>
      </c>
      <c r="C7" s="788"/>
      <c r="D7" s="800"/>
      <c r="E7" s="800"/>
      <c r="F7" s="788" t="s">
        <v>464</v>
      </c>
      <c r="G7" s="885"/>
      <c r="H7" s="800" t="s">
        <v>198</v>
      </c>
      <c r="I7" s="800"/>
      <c r="J7" s="800"/>
    </row>
    <row r="8" spans="1:10" ht="22.5" customHeight="1" x14ac:dyDescent="0.2">
      <c r="B8" s="788" t="s">
        <v>465</v>
      </c>
      <c r="C8" s="885"/>
      <c r="D8" s="800" t="str">
        <f>Índex!D39</f>
        <v xml:space="preserve">Vicedegana d’Intercanvis </v>
      </c>
      <c r="E8" s="800"/>
      <c r="F8" s="788" t="s">
        <v>637</v>
      </c>
      <c r="G8" s="885"/>
      <c r="H8" s="882" t="str">
        <f>Índex!E39</f>
        <v xml:space="preserve">Responsable d’Intercanvis de la GA del centre </v>
      </c>
      <c r="I8" s="882"/>
      <c r="J8" s="882"/>
    </row>
    <row r="9" spans="1:10" ht="65.25" customHeight="1" x14ac:dyDescent="0.2">
      <c r="B9" s="788" t="s">
        <v>461</v>
      </c>
      <c r="C9" s="885"/>
      <c r="D9" s="800" t="str">
        <f>Índex!G39</f>
        <v>PC3.03. Mobilitat de l’Alumnat</v>
      </c>
      <c r="E9" s="800"/>
      <c r="F9" s="788" t="s">
        <v>467</v>
      </c>
      <c r="G9" s="788"/>
      <c r="H9" s="886" t="s">
        <v>638</v>
      </c>
      <c r="I9" s="882"/>
      <c r="J9" s="882"/>
    </row>
    <row r="10" spans="1:10" ht="7.5" customHeight="1" x14ac:dyDescent="0.2"/>
    <row r="11" spans="1:10" ht="22.5" customHeight="1" x14ac:dyDescent="0.2">
      <c r="B11" s="567" t="s">
        <v>468</v>
      </c>
      <c r="C11" s="568"/>
      <c r="D11" s="568"/>
      <c r="E11" s="568"/>
      <c r="F11" s="568"/>
      <c r="G11" s="568"/>
      <c r="H11" s="568"/>
      <c r="I11" s="568"/>
      <c r="J11" s="569"/>
    </row>
    <row r="12" spans="1:10" ht="22.5" customHeight="1" x14ac:dyDescent="0.2">
      <c r="B12" s="13"/>
      <c r="C12" s="12"/>
      <c r="D12" s="12"/>
      <c r="E12" s="12"/>
      <c r="F12" s="12"/>
      <c r="G12" s="12"/>
      <c r="H12" s="12"/>
      <c r="I12" s="12"/>
      <c r="J12" s="12"/>
    </row>
    <row r="13" spans="1:10" ht="22.5" customHeight="1" thickBot="1" x14ac:dyDescent="0.25">
      <c r="I13" s="12"/>
      <c r="J13" s="12"/>
    </row>
    <row r="14" spans="1:10" ht="22.5" customHeight="1" thickBot="1" x14ac:dyDescent="0.25">
      <c r="B14" s="14"/>
      <c r="C14" s="14"/>
      <c r="D14" s="89" t="s">
        <v>202</v>
      </c>
      <c r="E14" s="89" t="s">
        <v>203</v>
      </c>
      <c r="F14" s="89" t="s">
        <v>204</v>
      </c>
      <c r="G14" s="89" t="s">
        <v>205</v>
      </c>
      <c r="H14" s="123" t="s">
        <v>256</v>
      </c>
      <c r="I14" s="12"/>
      <c r="J14" s="12"/>
    </row>
    <row r="15" spans="1:10" ht="26.25" customHeight="1" thickBot="1" x14ac:dyDescent="0.25">
      <c r="A15" s="889" t="s">
        <v>339</v>
      </c>
      <c r="B15" s="894" t="s">
        <v>340</v>
      </c>
      <c r="C15" s="894"/>
      <c r="D15" s="39">
        <v>27</v>
      </c>
      <c r="E15" s="39">
        <v>27</v>
      </c>
      <c r="F15" s="39">
        <v>27</v>
      </c>
      <c r="G15" s="251">
        <v>21</v>
      </c>
      <c r="H15" s="124">
        <v>21</v>
      </c>
      <c r="I15" s="12"/>
      <c r="J15" s="12"/>
    </row>
    <row r="16" spans="1:10" ht="22.5" customHeight="1" thickBot="1" x14ac:dyDescent="0.25">
      <c r="A16" s="890"/>
      <c r="B16" s="894" t="s">
        <v>341</v>
      </c>
      <c r="C16" s="894"/>
      <c r="D16" s="39">
        <v>11</v>
      </c>
      <c r="E16" s="39">
        <v>14</v>
      </c>
      <c r="F16" s="39">
        <v>13</v>
      </c>
      <c r="G16" s="252">
        <v>10</v>
      </c>
      <c r="H16" s="124">
        <v>11</v>
      </c>
      <c r="I16" s="12"/>
      <c r="J16" s="12"/>
    </row>
    <row r="17" spans="1:10" ht="76.5" customHeight="1" thickBot="1" x14ac:dyDescent="0.25">
      <c r="A17" s="890"/>
      <c r="B17" s="894" t="s">
        <v>342</v>
      </c>
      <c r="C17" s="894"/>
      <c r="D17" s="39">
        <v>38</v>
      </c>
      <c r="E17" s="39">
        <v>39</v>
      </c>
      <c r="F17" s="39">
        <v>39</v>
      </c>
      <c r="G17" s="252">
        <v>36</v>
      </c>
      <c r="H17" s="124">
        <v>37</v>
      </c>
      <c r="I17" s="12"/>
      <c r="J17" s="12"/>
    </row>
    <row r="18" spans="1:10" ht="22.5" customHeight="1" thickBot="1" x14ac:dyDescent="0.25">
      <c r="A18" s="890"/>
      <c r="B18" s="894" t="s">
        <v>343</v>
      </c>
      <c r="C18" s="894"/>
      <c r="D18" s="39">
        <v>1</v>
      </c>
      <c r="E18" s="39">
        <v>1</v>
      </c>
      <c r="F18" s="39">
        <v>1</v>
      </c>
      <c r="G18" s="285">
        <v>2</v>
      </c>
      <c r="H18" s="454">
        <v>2</v>
      </c>
      <c r="I18" s="12"/>
      <c r="J18" s="12"/>
    </row>
    <row r="19" spans="1:10" ht="22.5" customHeight="1" thickBot="1" x14ac:dyDescent="0.25">
      <c r="A19" s="890"/>
      <c r="B19" s="894" t="s">
        <v>344</v>
      </c>
      <c r="C19" s="894"/>
      <c r="D19" s="39">
        <v>26</v>
      </c>
      <c r="E19" s="39">
        <v>26</v>
      </c>
      <c r="F19" s="39">
        <v>27</v>
      </c>
      <c r="G19" s="252">
        <v>16</v>
      </c>
      <c r="H19" s="124">
        <v>17</v>
      </c>
    </row>
    <row r="20" spans="1:10" ht="22.5" customHeight="1" thickBot="1" x14ac:dyDescent="0.25">
      <c r="A20" s="890"/>
      <c r="B20" s="894" t="s">
        <v>345</v>
      </c>
      <c r="C20" s="894"/>
      <c r="D20" s="39">
        <v>32</v>
      </c>
      <c r="E20" s="39">
        <v>34</v>
      </c>
      <c r="F20" s="39">
        <v>33</v>
      </c>
      <c r="G20" s="252">
        <v>42</v>
      </c>
      <c r="H20" s="124">
        <v>41</v>
      </c>
    </row>
    <row r="21" spans="1:10" ht="22.5" customHeight="1" thickBot="1" x14ac:dyDescent="0.25">
      <c r="A21" s="892" t="s">
        <v>346</v>
      </c>
      <c r="B21" s="891" t="s">
        <v>347</v>
      </c>
      <c r="C21" s="891"/>
      <c r="D21" s="39">
        <v>1</v>
      </c>
      <c r="E21" s="39">
        <v>1</v>
      </c>
      <c r="F21" s="39">
        <v>3</v>
      </c>
      <c r="G21" s="252">
        <v>4</v>
      </c>
      <c r="H21" s="124">
        <v>3</v>
      </c>
    </row>
    <row r="22" spans="1:10" ht="22.5" customHeight="1" thickBot="1" x14ac:dyDescent="0.25">
      <c r="A22" s="893"/>
      <c r="B22" s="891" t="s">
        <v>348</v>
      </c>
      <c r="C22" s="891"/>
      <c r="D22" s="39">
        <v>1</v>
      </c>
      <c r="E22" s="39">
        <v>1</v>
      </c>
      <c r="F22" s="39">
        <v>1</v>
      </c>
      <c r="G22" s="285">
        <v>1</v>
      </c>
      <c r="H22" s="454">
        <v>2</v>
      </c>
    </row>
    <row r="23" spans="1:10" ht="22.5" customHeight="1" thickBot="1" x14ac:dyDescent="0.25">
      <c r="A23" s="893"/>
      <c r="B23" s="891" t="s">
        <v>349</v>
      </c>
      <c r="C23" s="891"/>
      <c r="D23" s="39">
        <v>6</v>
      </c>
      <c r="E23" s="39">
        <v>6</v>
      </c>
      <c r="F23" s="39">
        <v>11</v>
      </c>
      <c r="G23" s="252">
        <v>9</v>
      </c>
      <c r="H23" s="124">
        <v>7</v>
      </c>
    </row>
    <row r="24" spans="1:10" ht="22.5" customHeight="1" thickBot="1" x14ac:dyDescent="0.25">
      <c r="A24" s="893"/>
      <c r="B24" s="891" t="s">
        <v>350</v>
      </c>
      <c r="C24" s="891"/>
      <c r="D24" s="39">
        <v>8</v>
      </c>
      <c r="E24" s="39">
        <v>8</v>
      </c>
      <c r="F24" s="39">
        <v>8</v>
      </c>
      <c r="G24" s="252">
        <v>6</v>
      </c>
      <c r="H24" s="124">
        <v>8</v>
      </c>
    </row>
    <row r="25" spans="1:10" ht="22.5" customHeight="1" thickBot="1" x14ac:dyDescent="0.25">
      <c r="A25" s="893"/>
      <c r="B25" s="891" t="s">
        <v>351</v>
      </c>
      <c r="C25" s="891"/>
      <c r="D25" s="39">
        <v>19</v>
      </c>
      <c r="E25" s="39">
        <v>19</v>
      </c>
      <c r="F25" s="39">
        <v>17</v>
      </c>
      <c r="G25" s="252">
        <v>15</v>
      </c>
      <c r="H25" s="124">
        <v>18</v>
      </c>
    </row>
    <row r="26" spans="1:10" ht="22.5" customHeight="1" thickBot="1" x14ac:dyDescent="0.25">
      <c r="A26" s="893"/>
      <c r="B26" s="891" t="s">
        <v>352</v>
      </c>
      <c r="C26" s="891"/>
      <c r="D26" s="39">
        <v>8</v>
      </c>
      <c r="E26" s="39">
        <v>8</v>
      </c>
      <c r="F26" s="39">
        <v>8</v>
      </c>
      <c r="G26" s="252">
        <v>9</v>
      </c>
      <c r="H26" s="124">
        <v>9</v>
      </c>
    </row>
    <row r="27" spans="1:10" ht="22.5" customHeight="1" thickBot="1" x14ac:dyDescent="0.25">
      <c r="A27" s="893"/>
      <c r="B27" s="891" t="s">
        <v>353</v>
      </c>
      <c r="C27" s="891"/>
      <c r="D27" s="39">
        <v>21</v>
      </c>
      <c r="E27" s="39">
        <v>21</v>
      </c>
      <c r="F27" s="39">
        <v>23</v>
      </c>
      <c r="G27" s="252">
        <v>19</v>
      </c>
      <c r="H27" s="124">
        <v>21</v>
      </c>
    </row>
    <row r="28" spans="1:10" ht="22.5" customHeight="1" thickBot="1" x14ac:dyDescent="0.25">
      <c r="A28" s="893"/>
      <c r="B28" s="891" t="s">
        <v>354</v>
      </c>
      <c r="C28" s="891"/>
      <c r="D28" s="39">
        <v>3</v>
      </c>
      <c r="E28" s="39">
        <v>3</v>
      </c>
      <c r="F28" s="39">
        <v>3</v>
      </c>
      <c r="G28" s="252">
        <v>3</v>
      </c>
      <c r="H28" s="124">
        <v>3</v>
      </c>
    </row>
    <row r="29" spans="1:10" ht="22.5" customHeight="1" thickBot="1" x14ac:dyDescent="0.25">
      <c r="A29" s="887" t="s">
        <v>355</v>
      </c>
      <c r="B29" s="888" t="s">
        <v>356</v>
      </c>
      <c r="C29" s="888"/>
      <c r="D29" s="39">
        <v>81</v>
      </c>
      <c r="E29" s="39">
        <v>89</v>
      </c>
      <c r="F29" s="39">
        <v>90</v>
      </c>
      <c r="G29" s="252">
        <v>86</v>
      </c>
      <c r="H29" s="124">
        <v>80</v>
      </c>
    </row>
    <row r="30" spans="1:10" ht="36.75" customHeight="1" thickBot="1" x14ac:dyDescent="0.25">
      <c r="A30" s="887"/>
      <c r="B30" s="888" t="s">
        <v>357</v>
      </c>
      <c r="C30" s="888"/>
      <c r="D30" s="39">
        <v>21</v>
      </c>
      <c r="E30" s="39">
        <v>21</v>
      </c>
      <c r="F30" s="39">
        <v>20</v>
      </c>
      <c r="G30" s="253">
        <v>17</v>
      </c>
      <c r="H30" s="124">
        <v>17</v>
      </c>
    </row>
    <row r="31" spans="1:10" ht="36.75" customHeight="1" thickBot="1" x14ac:dyDescent="0.25">
      <c r="A31" s="199"/>
      <c r="B31" s="895" t="s">
        <v>358</v>
      </c>
      <c r="C31" s="895"/>
      <c r="D31" s="254">
        <f>SUM(D15:D30)</f>
        <v>304</v>
      </c>
      <c r="E31" s="254">
        <f>SUM(E15:E30)</f>
        <v>318</v>
      </c>
      <c r="F31" s="254">
        <f>SUM(F15:F30)</f>
        <v>324</v>
      </c>
      <c r="G31" s="255">
        <v>296</v>
      </c>
      <c r="H31" s="125">
        <v>297</v>
      </c>
    </row>
    <row r="32" spans="1:10" ht="22.5" customHeight="1" thickBot="1" x14ac:dyDescent="0.25">
      <c r="B32" s="730" t="s">
        <v>207</v>
      </c>
      <c r="C32" s="787"/>
      <c r="D32" s="55">
        <f>$D5</f>
        <v>100</v>
      </c>
      <c r="E32" s="55">
        <f>$D5</f>
        <v>100</v>
      </c>
      <c r="F32" s="55">
        <f>$D5</f>
        <v>100</v>
      </c>
      <c r="G32" s="55">
        <f>$D5</f>
        <v>100</v>
      </c>
      <c r="H32" s="99">
        <v>100</v>
      </c>
    </row>
    <row r="33" spans="2:14" ht="22.5" customHeight="1" x14ac:dyDescent="0.2">
      <c r="B33" s="730" t="s">
        <v>208</v>
      </c>
      <c r="C33" s="787"/>
      <c r="D33" s="54">
        <f>D31/100</f>
        <v>3.04</v>
      </c>
      <c r="E33" s="54">
        <f>E31/100</f>
        <v>3.18</v>
      </c>
      <c r="F33" s="54">
        <f>F31/100</f>
        <v>3.24</v>
      </c>
      <c r="G33" s="54">
        <f>G31/100</f>
        <v>2.96</v>
      </c>
      <c r="H33" s="54">
        <f>H31/100</f>
        <v>2.97</v>
      </c>
    </row>
    <row r="35" spans="2:14" ht="22.5" customHeight="1" x14ac:dyDescent="0.2">
      <c r="H35" s="12"/>
      <c r="I35" s="12"/>
      <c r="J35" s="105" t="s">
        <v>649</v>
      </c>
      <c r="K35" s="107"/>
      <c r="L35" s="107"/>
      <c r="M35" s="106"/>
    </row>
    <row r="36" spans="2:14" ht="22.5" customHeight="1" x14ac:dyDescent="0.2">
      <c r="J36" s="9"/>
      <c r="K36" s="9"/>
      <c r="L36" s="9"/>
      <c r="M36" s="9"/>
    </row>
    <row r="37" spans="2:14" ht="22.5" customHeight="1" x14ac:dyDescent="0.2">
      <c r="K37" s="896" t="s">
        <v>359</v>
      </c>
      <c r="L37" s="897"/>
      <c r="M37" s="897"/>
      <c r="N37" s="898"/>
    </row>
    <row r="38" spans="2:14" ht="6" customHeight="1" x14ac:dyDescent="0.2">
      <c r="K38" s="899"/>
      <c r="L38" s="900"/>
      <c r="M38" s="900"/>
      <c r="N38" s="901"/>
    </row>
    <row r="39" spans="2:14" ht="19.5" customHeight="1" x14ac:dyDescent="0.2">
      <c r="K39" s="899"/>
      <c r="L39" s="900"/>
      <c r="M39" s="900"/>
      <c r="N39" s="901"/>
    </row>
    <row r="40" spans="2:14" ht="19.5" customHeight="1" x14ac:dyDescent="0.2">
      <c r="K40" s="899"/>
      <c r="L40" s="900"/>
      <c r="M40" s="900"/>
      <c r="N40" s="901"/>
    </row>
    <row r="41" spans="2:14" ht="19.5" customHeight="1" x14ac:dyDescent="0.2">
      <c r="K41" s="899"/>
      <c r="L41" s="900"/>
      <c r="M41" s="900"/>
      <c r="N41" s="901"/>
    </row>
    <row r="42" spans="2:14" ht="19.5" customHeight="1" x14ac:dyDescent="0.2">
      <c r="K42" s="899"/>
      <c r="L42" s="900"/>
      <c r="M42" s="900"/>
      <c r="N42" s="901"/>
    </row>
    <row r="43" spans="2:14" ht="19.5" customHeight="1" x14ac:dyDescent="0.2">
      <c r="K43" s="899"/>
      <c r="L43" s="900"/>
      <c r="M43" s="900"/>
      <c r="N43" s="901"/>
    </row>
    <row r="44" spans="2:14" ht="19.5" customHeight="1" x14ac:dyDescent="0.2">
      <c r="K44" s="899"/>
      <c r="L44" s="900"/>
      <c r="M44" s="900"/>
      <c r="N44" s="901"/>
    </row>
    <row r="45" spans="2:14" ht="19.5" customHeight="1" x14ac:dyDescent="0.2">
      <c r="K45" s="902"/>
      <c r="L45" s="903"/>
      <c r="M45" s="903"/>
      <c r="N45" s="904"/>
    </row>
    <row r="46" spans="2:14" ht="19.5" customHeight="1" x14ac:dyDescent="0.2"/>
    <row r="47" spans="2:14" ht="19.5" customHeight="1" x14ac:dyDescent="0.2"/>
    <row r="48" spans="2:14" ht="19.5" customHeight="1" x14ac:dyDescent="0.2">
      <c r="H48" s="559" t="s">
        <v>155</v>
      </c>
      <c r="I48" s="560"/>
      <c r="J48" s="560"/>
    </row>
  </sheetData>
  <sheetProtection formatCells="0" formatColumns="0" formatRows="0" insertColumns="0" insertRows="0" insertHyperlinks="0" deleteColumns="0" deleteRows="0" pivotTables="0"/>
  <mergeCells count="50">
    <mergeCell ref="K37:N45"/>
    <mergeCell ref="B2:D2"/>
    <mergeCell ref="E2:J2"/>
    <mergeCell ref="B4:C4"/>
    <mergeCell ref="D4:E4"/>
    <mergeCell ref="F4:G4"/>
    <mergeCell ref="H4:J4"/>
    <mergeCell ref="B5:C5"/>
    <mergeCell ref="F5:G5"/>
    <mergeCell ref="H5:J5"/>
    <mergeCell ref="B8:C8"/>
    <mergeCell ref="D8:E8"/>
    <mergeCell ref="F8:G8"/>
    <mergeCell ref="D5:E5"/>
    <mergeCell ref="B11:J11"/>
    <mergeCell ref="D6:E6"/>
    <mergeCell ref="H48:J48"/>
    <mergeCell ref="B9:C9"/>
    <mergeCell ref="B15:C15"/>
    <mergeCell ref="B16:C16"/>
    <mergeCell ref="B17:C17"/>
    <mergeCell ref="B18:C18"/>
    <mergeCell ref="B19:C19"/>
    <mergeCell ref="B20:C20"/>
    <mergeCell ref="B31:C31"/>
    <mergeCell ref="B25:C25"/>
    <mergeCell ref="B26:C26"/>
    <mergeCell ref="B27:C27"/>
    <mergeCell ref="B28:C28"/>
    <mergeCell ref="B29:C29"/>
    <mergeCell ref="A29:A30"/>
    <mergeCell ref="B30:C30"/>
    <mergeCell ref="B32:C32"/>
    <mergeCell ref="B33:C33"/>
    <mergeCell ref="A15:A20"/>
    <mergeCell ref="B21:C21"/>
    <mergeCell ref="B22:C22"/>
    <mergeCell ref="B23:C23"/>
    <mergeCell ref="B24:C24"/>
    <mergeCell ref="A21:A28"/>
    <mergeCell ref="B7:C7"/>
    <mergeCell ref="F7:G7"/>
    <mergeCell ref="D9:E9"/>
    <mergeCell ref="F9:G9"/>
    <mergeCell ref="H9:J9"/>
    <mergeCell ref="H6:J6"/>
    <mergeCell ref="H7:J7"/>
    <mergeCell ref="H8:J8"/>
    <mergeCell ref="D7:E7"/>
    <mergeCell ref="F6:G6"/>
  </mergeCells>
  <conditionalFormatting sqref="D15:F30">
    <cfRule type="cellIs" dxfId="30" priority="1" operator="lessThan">
      <formula>1</formula>
    </cfRule>
  </conditionalFormatting>
  <conditionalFormatting sqref="D31:F31">
    <cfRule type="cellIs" dxfId="29" priority="2" operator="lessThan">
      <formula>100</formula>
    </cfRule>
  </conditionalFormatting>
  <pageMargins left="0.7" right="0.7" top="0.75" bottom="0.75" header="0" footer="0"/>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51E7F-EA6B-41BE-8E26-F4A14A478556}">
  <sheetPr>
    <tabColor theme="9" tint="-0.499984740745262"/>
    <pageSetUpPr fitToPage="1"/>
  </sheetPr>
  <dimension ref="A2:N42"/>
  <sheetViews>
    <sheetView showGridLines="0" workbookViewId="0">
      <selection activeCell="H9" sqref="H9:J9"/>
    </sheetView>
  </sheetViews>
  <sheetFormatPr defaultColWidth="12.5703125" defaultRowHeight="15.75" customHeight="1" x14ac:dyDescent="0.2"/>
  <cols>
    <col min="1" max="1" width="3.42578125" customWidth="1"/>
    <col min="2" max="2" width="14.140625" customWidth="1"/>
    <col min="3" max="3" width="16.85546875" customWidth="1"/>
    <col min="4" max="5" width="9.85546875" bestFit="1" customWidth="1"/>
    <col min="6" max="9" width="12.5703125" customWidth="1"/>
    <col min="10" max="10" width="36.28515625" customWidth="1"/>
    <col min="11" max="20" width="7.5703125" customWidth="1"/>
  </cols>
  <sheetData>
    <row r="2" spans="2:10" ht="55.5" customHeight="1" x14ac:dyDescent="0.2">
      <c r="B2" s="714"/>
      <c r="C2" s="714"/>
      <c r="D2" s="714"/>
      <c r="E2" s="717" t="s">
        <v>192</v>
      </c>
      <c r="F2" s="717"/>
      <c r="G2" s="717"/>
      <c r="H2" s="717"/>
      <c r="I2" s="717"/>
      <c r="J2" s="908"/>
    </row>
    <row r="3" spans="2:10" ht="22.5" customHeight="1" x14ac:dyDescent="0.2">
      <c r="B3" s="41"/>
      <c r="C3" s="41"/>
      <c r="D3" s="42"/>
      <c r="E3" s="42"/>
      <c r="F3" s="42"/>
      <c r="G3" s="42"/>
      <c r="H3" s="42"/>
      <c r="I3" s="42"/>
    </row>
    <row r="4" spans="2:10" ht="42" customHeight="1" x14ac:dyDescent="0.2">
      <c r="B4" s="906" t="s">
        <v>193</v>
      </c>
      <c r="C4" s="906"/>
      <c r="D4" s="907" t="str">
        <f>Índex!B40</f>
        <v xml:space="preserve">PC3.03_Ind02. </v>
      </c>
      <c r="E4" s="907"/>
      <c r="F4" s="906" t="s">
        <v>194</v>
      </c>
      <c r="G4" s="906"/>
      <c r="H4" s="907" t="str">
        <f>Índex!C40</f>
        <v>Valoració mitjana a l’afirmació “Les accions de mobilitat que he realitzat han estat rellevants per al meu aprenentatge” (Objectiu ≥3 sobre 5)</v>
      </c>
      <c r="I4" s="907"/>
      <c r="J4" s="907"/>
    </row>
    <row r="5" spans="2:10" ht="22.5" customHeight="1" x14ac:dyDescent="0.2">
      <c r="B5" s="906" t="s">
        <v>195</v>
      </c>
      <c r="C5" s="906"/>
      <c r="D5" s="907" t="str">
        <f>Índex!F40</f>
        <v>≥3</v>
      </c>
      <c r="E5" s="907"/>
      <c r="F5" s="906" t="s">
        <v>196</v>
      </c>
      <c r="G5" s="906"/>
      <c r="H5" s="907" t="s">
        <v>216</v>
      </c>
      <c r="I5" s="907"/>
      <c r="J5" s="907"/>
    </row>
    <row r="6" spans="2:10" ht="22.5" customHeight="1" x14ac:dyDescent="0.2">
      <c r="B6" s="906" t="s">
        <v>471</v>
      </c>
      <c r="C6" s="906"/>
      <c r="D6" s="907" t="str">
        <f>Índex!H40</f>
        <v>Objectiu de Qualitat. Grups d'interès</v>
      </c>
      <c r="E6" s="907"/>
      <c r="F6" s="906" t="s">
        <v>462</v>
      </c>
      <c r="G6" s="906"/>
      <c r="H6" s="907"/>
      <c r="I6" s="907"/>
      <c r="J6" s="907"/>
    </row>
    <row r="7" spans="2:10" ht="22.5" customHeight="1" x14ac:dyDescent="0.2">
      <c r="B7" s="906" t="s">
        <v>463</v>
      </c>
      <c r="C7" s="906"/>
      <c r="D7" s="907"/>
      <c r="E7" s="907"/>
      <c r="F7" s="906" t="s">
        <v>464</v>
      </c>
      <c r="G7" s="906"/>
      <c r="H7" s="907" t="s">
        <v>198</v>
      </c>
      <c r="I7" s="907"/>
      <c r="J7" s="907"/>
    </row>
    <row r="8" spans="2:10" ht="22.5" customHeight="1" x14ac:dyDescent="0.2">
      <c r="B8" s="906" t="s">
        <v>465</v>
      </c>
      <c r="C8" s="906"/>
      <c r="D8" s="907" t="str">
        <f>Índex!D40</f>
        <v xml:space="preserve">Vicedegana d’Intercanvis </v>
      </c>
      <c r="E8" s="907"/>
      <c r="F8" s="906" t="s">
        <v>472</v>
      </c>
      <c r="G8" s="906"/>
      <c r="H8" s="907" t="str">
        <f>Índex!E40</f>
        <v>Gestora de Qualitat</v>
      </c>
      <c r="I8" s="907"/>
      <c r="J8" s="907"/>
    </row>
    <row r="9" spans="2:10" ht="45" customHeight="1" x14ac:dyDescent="0.2">
      <c r="B9" s="906" t="s">
        <v>461</v>
      </c>
      <c r="C9" s="906"/>
      <c r="D9" s="907" t="str">
        <f>Índex!G40</f>
        <v>PC3.03. Mobilitat de l’Alumnat</v>
      </c>
      <c r="E9" s="907"/>
      <c r="F9" s="906" t="s">
        <v>467</v>
      </c>
      <c r="G9" s="906"/>
      <c r="H9" s="718" t="s">
        <v>519</v>
      </c>
      <c r="I9" s="715"/>
      <c r="J9" s="716"/>
    </row>
    <row r="10" spans="2:10" ht="7.5" customHeight="1" x14ac:dyDescent="0.2"/>
    <row r="11" spans="2:10" ht="22.5" customHeight="1" x14ac:dyDescent="0.2">
      <c r="B11" s="567" t="s">
        <v>468</v>
      </c>
      <c r="C11" s="567"/>
      <c r="D11" s="567"/>
      <c r="E11" s="567"/>
      <c r="F11" s="567"/>
      <c r="G11" s="567"/>
      <c r="H11" s="567"/>
      <c r="I11" s="567"/>
      <c r="J11" s="567"/>
    </row>
    <row r="12" spans="2:10" ht="22.5" customHeight="1" x14ac:dyDescent="0.2"/>
    <row r="13" spans="2:10" ht="22.5" customHeight="1" x14ac:dyDescent="0.2">
      <c r="D13" s="78" t="s">
        <v>200</v>
      </c>
      <c r="E13" s="78" t="s">
        <v>201</v>
      </c>
      <c r="F13" s="78" t="s">
        <v>202</v>
      </c>
      <c r="G13" s="78" t="s">
        <v>203</v>
      </c>
      <c r="H13" s="78" t="s">
        <v>204</v>
      </c>
      <c r="I13" s="78" t="s">
        <v>205</v>
      </c>
    </row>
    <row r="14" spans="2:10" ht="22.5" customHeight="1" x14ac:dyDescent="0.2">
      <c r="B14" s="682" t="s">
        <v>218</v>
      </c>
      <c r="C14" s="682"/>
      <c r="D14" s="39">
        <v>2.9</v>
      </c>
      <c r="E14" s="39" t="s">
        <v>213</v>
      </c>
      <c r="F14" s="39">
        <v>4.33</v>
      </c>
      <c r="G14" s="39">
        <v>2.75</v>
      </c>
      <c r="H14" s="39">
        <v>3.93</v>
      </c>
      <c r="I14" s="39">
        <v>4.3</v>
      </c>
    </row>
    <row r="15" spans="2:10" ht="40.5" customHeight="1" x14ac:dyDescent="0.2">
      <c r="B15" s="682" t="s">
        <v>219</v>
      </c>
      <c r="C15" s="682"/>
      <c r="D15" s="39" t="s">
        <v>213</v>
      </c>
      <c r="E15" s="39" t="s">
        <v>213</v>
      </c>
      <c r="F15" s="39">
        <v>3.8</v>
      </c>
      <c r="G15" s="39">
        <v>3</v>
      </c>
      <c r="H15" s="39">
        <v>4.2</v>
      </c>
      <c r="I15" s="39">
        <v>4</v>
      </c>
    </row>
    <row r="16" spans="2:10" ht="22.5" customHeight="1" x14ac:dyDescent="0.2">
      <c r="B16" s="682" t="s">
        <v>220</v>
      </c>
      <c r="C16" s="682"/>
      <c r="D16" s="39" t="s">
        <v>213</v>
      </c>
      <c r="E16" s="91">
        <v>2.5</v>
      </c>
      <c r="F16" s="39">
        <v>3.17</v>
      </c>
      <c r="G16" s="39">
        <v>1</v>
      </c>
      <c r="H16" s="39">
        <v>3.8</v>
      </c>
      <c r="I16" s="39">
        <v>3.43</v>
      </c>
    </row>
    <row r="17" spans="1:14" ht="22.5" customHeight="1" x14ac:dyDescent="0.2">
      <c r="B17" s="682" t="s">
        <v>221</v>
      </c>
      <c r="C17" s="682"/>
      <c r="D17" s="91">
        <v>2.33</v>
      </c>
      <c r="E17" s="91">
        <v>3.27</v>
      </c>
      <c r="F17" s="39">
        <v>3.45</v>
      </c>
      <c r="G17" s="39">
        <v>3.33</v>
      </c>
      <c r="H17" s="39">
        <v>3.25</v>
      </c>
      <c r="I17" s="39">
        <v>4.22</v>
      </c>
    </row>
    <row r="18" spans="1:14" ht="22.5" customHeight="1" x14ac:dyDescent="0.2">
      <c r="B18" s="682" t="s">
        <v>222</v>
      </c>
      <c r="C18" s="682"/>
      <c r="D18" s="39" t="s">
        <v>213</v>
      </c>
      <c r="E18" s="39" t="s">
        <v>213</v>
      </c>
      <c r="F18" s="51" t="s">
        <v>213</v>
      </c>
      <c r="G18" s="39">
        <v>3</v>
      </c>
      <c r="H18" s="39">
        <v>5</v>
      </c>
      <c r="I18" s="39">
        <v>5</v>
      </c>
    </row>
    <row r="19" spans="1:14" ht="22.5" customHeight="1" x14ac:dyDescent="0.2">
      <c r="B19" s="682" t="s">
        <v>223</v>
      </c>
      <c r="C19" s="682"/>
      <c r="D19" s="91">
        <v>2.83</v>
      </c>
      <c r="E19" s="91">
        <v>2</v>
      </c>
      <c r="F19" s="51" t="s">
        <v>213</v>
      </c>
      <c r="G19" s="39">
        <v>2.33</v>
      </c>
      <c r="H19" s="39">
        <v>3.83</v>
      </c>
      <c r="I19" s="39">
        <v>3.67</v>
      </c>
      <c r="K19" s="18"/>
      <c r="L19" s="18"/>
      <c r="M19" s="18"/>
    </row>
    <row r="20" spans="1:14" ht="22.5" customHeight="1" x14ac:dyDescent="0.2">
      <c r="B20" s="682" t="s">
        <v>224</v>
      </c>
      <c r="C20" s="682"/>
      <c r="D20" s="91">
        <v>3.6</v>
      </c>
      <c r="E20" s="39" t="s">
        <v>213</v>
      </c>
      <c r="F20" s="51" t="s">
        <v>213</v>
      </c>
      <c r="G20" s="51" t="s">
        <v>213</v>
      </c>
      <c r="H20" s="39">
        <v>3.67</v>
      </c>
      <c r="I20" s="39" t="s">
        <v>234</v>
      </c>
      <c r="K20" s="18"/>
      <c r="L20" s="18"/>
      <c r="M20" s="18"/>
    </row>
    <row r="21" spans="1:14" ht="32.25" customHeight="1" x14ac:dyDescent="0.3">
      <c r="A21" s="32" t="s">
        <v>155</v>
      </c>
      <c r="B21" s="665" t="s">
        <v>225</v>
      </c>
      <c r="C21" s="666"/>
      <c r="D21" s="83" t="s">
        <v>213</v>
      </c>
      <c r="E21" s="39" t="s">
        <v>213</v>
      </c>
      <c r="F21" s="51" t="s">
        <v>213</v>
      </c>
      <c r="G21" s="51" t="s">
        <v>213</v>
      </c>
      <c r="H21" s="39">
        <v>4</v>
      </c>
      <c r="I21" s="39">
        <v>3.44</v>
      </c>
      <c r="K21" s="18"/>
      <c r="L21" s="18"/>
      <c r="M21" s="18"/>
    </row>
    <row r="22" spans="1:14" ht="30" customHeight="1" x14ac:dyDescent="0.2">
      <c r="B22" s="682" t="s">
        <v>226</v>
      </c>
      <c r="C22" s="682"/>
      <c r="D22" s="91">
        <v>3.22</v>
      </c>
      <c r="E22" s="91">
        <v>3.2</v>
      </c>
      <c r="F22" s="39">
        <v>2.91</v>
      </c>
      <c r="G22" s="39">
        <v>2.5</v>
      </c>
      <c r="H22" s="39">
        <v>3.31</v>
      </c>
      <c r="I22" s="39">
        <v>3.57</v>
      </c>
      <c r="K22" s="18"/>
      <c r="L22" s="18"/>
      <c r="M22" s="18"/>
    </row>
    <row r="23" spans="1:14" ht="33" customHeight="1" x14ac:dyDescent="0.2">
      <c r="B23" s="682" t="s">
        <v>227</v>
      </c>
      <c r="C23" s="682"/>
      <c r="D23" s="91">
        <v>3.5</v>
      </c>
      <c r="E23" s="91">
        <v>2.33</v>
      </c>
      <c r="F23" s="39">
        <v>3.85</v>
      </c>
      <c r="G23" s="39">
        <v>2.5</v>
      </c>
      <c r="H23" s="39">
        <v>3.57</v>
      </c>
      <c r="I23" s="39">
        <v>4.2300000000000004</v>
      </c>
      <c r="K23" s="62" t="s">
        <v>210</v>
      </c>
      <c r="L23" s="107"/>
      <c r="M23" s="107"/>
      <c r="N23" s="106"/>
    </row>
    <row r="24" spans="1:14" ht="30.75" customHeight="1" x14ac:dyDescent="0.2">
      <c r="B24" s="682" t="s">
        <v>228</v>
      </c>
      <c r="C24" s="682"/>
      <c r="D24" s="91">
        <v>3.19</v>
      </c>
      <c r="E24" s="91">
        <v>2.67</v>
      </c>
      <c r="F24" s="39">
        <v>1.92</v>
      </c>
      <c r="G24" s="39">
        <v>3.33</v>
      </c>
      <c r="H24" s="39">
        <v>3.45</v>
      </c>
      <c r="I24" s="39">
        <v>3.54</v>
      </c>
      <c r="K24" s="9"/>
      <c r="L24" s="9"/>
      <c r="M24" s="9"/>
      <c r="N24" s="9"/>
    </row>
    <row r="25" spans="1:14" ht="22.5" customHeight="1" x14ac:dyDescent="0.25">
      <c r="B25" s="909" t="str">
        <f>D5</f>
        <v>≥3</v>
      </c>
      <c r="C25" s="909"/>
      <c r="D25" s="48">
        <f t="shared" ref="D25:I25" si="0">COUNTIF(D14:D24,"&gt;=3")</f>
        <v>4</v>
      </c>
      <c r="E25" s="48">
        <f t="shared" si="0"/>
        <v>2</v>
      </c>
      <c r="F25" s="48">
        <f t="shared" si="0"/>
        <v>5</v>
      </c>
      <c r="G25" s="48">
        <f t="shared" si="0"/>
        <v>4</v>
      </c>
      <c r="H25" s="48">
        <f t="shared" si="0"/>
        <v>11</v>
      </c>
      <c r="I25" s="48">
        <f t="shared" si="0"/>
        <v>10</v>
      </c>
      <c r="K25" s="896" t="s">
        <v>520</v>
      </c>
      <c r="L25" s="897"/>
      <c r="M25" s="897"/>
      <c r="N25" s="898"/>
    </row>
    <row r="26" spans="1:14" ht="22.5" customHeight="1" x14ac:dyDescent="0.25">
      <c r="B26" s="775" t="s">
        <v>248</v>
      </c>
      <c r="C26" s="775"/>
      <c r="D26" s="48">
        <f t="shared" ref="D26:I26" si="1">COUNT( D14:D24)</f>
        <v>7</v>
      </c>
      <c r="E26" s="48">
        <f t="shared" si="1"/>
        <v>6</v>
      </c>
      <c r="F26" s="48">
        <f t="shared" si="1"/>
        <v>7</v>
      </c>
      <c r="G26" s="48">
        <f t="shared" si="1"/>
        <v>9</v>
      </c>
      <c r="H26" s="48">
        <f t="shared" si="1"/>
        <v>11</v>
      </c>
      <c r="I26" s="48">
        <f t="shared" si="1"/>
        <v>10</v>
      </c>
      <c r="K26" s="899"/>
      <c r="L26" s="900"/>
      <c r="M26" s="900"/>
      <c r="N26" s="901"/>
    </row>
    <row r="27" spans="1:14" ht="22.5" customHeight="1" x14ac:dyDescent="0.2">
      <c r="B27" s="910" t="s">
        <v>207</v>
      </c>
      <c r="C27" s="911"/>
      <c r="D27" s="200">
        <v>3</v>
      </c>
      <c r="E27" s="200">
        <v>3</v>
      </c>
      <c r="F27" s="200">
        <v>3</v>
      </c>
      <c r="G27" s="200">
        <v>3</v>
      </c>
      <c r="H27" s="200">
        <v>3</v>
      </c>
      <c r="I27" s="200">
        <v>3</v>
      </c>
      <c r="K27" s="899"/>
      <c r="L27" s="900"/>
      <c r="M27" s="900"/>
      <c r="N27" s="901"/>
    </row>
    <row r="28" spans="1:14" ht="22.5" customHeight="1" x14ac:dyDescent="0.2">
      <c r="B28" s="730" t="s">
        <v>208</v>
      </c>
      <c r="C28" s="787"/>
      <c r="D28" s="54">
        <f t="shared" ref="D28:I28" si="2">D25/D26</f>
        <v>0.5714285714285714</v>
      </c>
      <c r="E28" s="54">
        <f t="shared" si="2"/>
        <v>0.33333333333333331</v>
      </c>
      <c r="F28" s="54">
        <f t="shared" si="2"/>
        <v>0.7142857142857143</v>
      </c>
      <c r="G28" s="54">
        <f t="shared" si="2"/>
        <v>0.44444444444444442</v>
      </c>
      <c r="H28" s="54">
        <f t="shared" si="2"/>
        <v>1</v>
      </c>
      <c r="I28" s="54">
        <f t="shared" si="2"/>
        <v>1</v>
      </c>
      <c r="K28" s="899"/>
      <c r="L28" s="900"/>
      <c r="M28" s="900"/>
      <c r="N28" s="901"/>
    </row>
    <row r="29" spans="1:14" ht="22.5" customHeight="1" x14ac:dyDescent="0.25">
      <c r="B29" s="7"/>
      <c r="C29" s="7"/>
      <c r="D29" s="6"/>
      <c r="E29" s="6"/>
      <c r="F29" s="6"/>
      <c r="G29" s="6"/>
      <c r="H29" s="6"/>
      <c r="I29" s="6"/>
      <c r="K29" s="899"/>
      <c r="L29" s="900"/>
      <c r="M29" s="900"/>
      <c r="N29" s="901"/>
    </row>
    <row r="30" spans="1:14" ht="22.5" customHeight="1" x14ac:dyDescent="0.2">
      <c r="B30" s="567" t="s">
        <v>209</v>
      </c>
      <c r="C30" s="568"/>
      <c r="D30" s="568"/>
      <c r="E30" s="569"/>
      <c r="F30" s="8"/>
      <c r="K30" s="899"/>
      <c r="L30" s="900"/>
      <c r="M30" s="900"/>
      <c r="N30" s="901"/>
    </row>
    <row r="31" spans="1:14" ht="22.5" customHeight="1" x14ac:dyDescent="0.2">
      <c r="B31" s="8"/>
      <c r="C31" s="8"/>
      <c r="D31" s="8"/>
      <c r="E31" s="8"/>
      <c r="F31" s="8"/>
      <c r="K31" s="899"/>
      <c r="L31" s="900"/>
      <c r="M31" s="900"/>
      <c r="N31" s="901"/>
    </row>
    <row r="32" spans="1:14" ht="6" customHeight="1" x14ac:dyDescent="0.2">
      <c r="B32" s="8"/>
      <c r="C32" s="8"/>
      <c r="D32" s="8"/>
      <c r="E32" s="8"/>
      <c r="F32" s="8"/>
      <c r="K32" s="899"/>
      <c r="L32" s="900"/>
      <c r="M32" s="900"/>
      <c r="N32" s="901"/>
    </row>
    <row r="33" spans="2:14" ht="19.5" customHeight="1" x14ac:dyDescent="0.2">
      <c r="B33" s="8"/>
      <c r="C33" s="8"/>
      <c r="D33" s="8"/>
      <c r="E33" s="8"/>
      <c r="F33" s="8"/>
      <c r="K33" s="902"/>
      <c r="L33" s="903"/>
      <c r="M33" s="903"/>
      <c r="N33" s="904"/>
    </row>
    <row r="42" spans="2:14" ht="19.5" customHeight="1" x14ac:dyDescent="0.2">
      <c r="H42" s="559" t="s">
        <v>155</v>
      </c>
      <c r="I42" s="560"/>
      <c r="J42" s="560"/>
    </row>
  </sheetData>
  <sheetProtection formatCells="0" formatColumns="0" formatRows="0" insertColumns="0" insertRows="0" insertHyperlinks="0" deleteColumns="0" deleteRows="0" pivotTables="0"/>
  <mergeCells count="45">
    <mergeCell ref="H42:J42"/>
    <mergeCell ref="B30:E30"/>
    <mergeCell ref="B25:C25"/>
    <mergeCell ref="B26:C26"/>
    <mergeCell ref="B28:C28"/>
    <mergeCell ref="B27:C27"/>
    <mergeCell ref="K25:N33"/>
    <mergeCell ref="B11:J11"/>
    <mergeCell ref="B14:C14"/>
    <mergeCell ref="B15:C15"/>
    <mergeCell ref="B18:C18"/>
    <mergeCell ref="B16:C16"/>
    <mergeCell ref="B17:C17"/>
    <mergeCell ref="B19:C19"/>
    <mergeCell ref="B20:C20"/>
    <mergeCell ref="B22:C22"/>
    <mergeCell ref="B23:C23"/>
    <mergeCell ref="B24:C24"/>
    <mergeCell ref="B21:C21"/>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B8:C8"/>
    <mergeCell ref="D8:E8"/>
    <mergeCell ref="F8:G8"/>
    <mergeCell ref="H8:J8"/>
    <mergeCell ref="D9:E9"/>
    <mergeCell ref="F9:G9"/>
    <mergeCell ref="H9:J9"/>
    <mergeCell ref="B9:C9"/>
  </mergeCells>
  <conditionalFormatting sqref="D14:I24">
    <cfRule type="cellIs" dxfId="28" priority="1" operator="between">
      <formula>0</formula>
      <formula>2.7</formula>
    </cfRule>
  </conditionalFormatting>
  <pageMargins left="0.7" right="0.7" top="0.75" bottom="0.75" header="0" footer="0"/>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B6CDD-F9B3-4BB2-9AFB-63C127409F8E}">
  <sheetPr>
    <tabColor theme="9" tint="-0.499984740745262"/>
    <pageSetUpPr fitToPage="1"/>
  </sheetPr>
  <dimension ref="A2:M72"/>
  <sheetViews>
    <sheetView showGridLines="0" zoomScale="95" zoomScaleNormal="95" workbookViewId="0">
      <selection activeCell="G9" sqref="G9:I9"/>
    </sheetView>
  </sheetViews>
  <sheetFormatPr defaultColWidth="12.5703125" defaultRowHeight="15.75" customHeight="1" x14ac:dyDescent="0.2"/>
  <cols>
    <col min="1" max="1" width="29" customWidth="1"/>
    <col min="2" max="2" width="14.85546875" customWidth="1"/>
    <col min="3" max="3" width="17.28515625" bestFit="1" customWidth="1"/>
    <col min="4" max="5" width="12.5703125" customWidth="1"/>
    <col min="6" max="6" width="19" customWidth="1"/>
    <col min="7" max="8" width="12.5703125" customWidth="1"/>
    <col min="9" max="9" width="36.28515625" customWidth="1"/>
    <col min="10" max="16" width="7.5703125" customWidth="1"/>
  </cols>
  <sheetData>
    <row r="2" spans="1:13" ht="55.5" customHeight="1" x14ac:dyDescent="0.2">
      <c r="A2" s="714"/>
      <c r="B2" s="715"/>
      <c r="C2" s="716"/>
      <c r="D2" s="717" t="s">
        <v>192</v>
      </c>
      <c r="E2" s="715"/>
      <c r="F2" s="715"/>
      <c r="G2" s="715"/>
      <c r="H2" s="715"/>
      <c r="I2" s="716"/>
    </row>
    <row r="3" spans="1:13" ht="22.5" customHeight="1" x14ac:dyDescent="0.2">
      <c r="A3" s="41"/>
      <c r="B3" s="41"/>
      <c r="C3" s="42"/>
      <c r="D3" s="42"/>
      <c r="E3" s="42"/>
      <c r="F3" s="42"/>
      <c r="G3" s="42"/>
      <c r="H3" s="42"/>
    </row>
    <row r="4" spans="1:13" ht="42" customHeight="1" x14ac:dyDescent="0.2">
      <c r="A4" s="917" t="s">
        <v>193</v>
      </c>
      <c r="B4" s="789"/>
      <c r="C4" s="786" t="str">
        <f>Índex!B41</f>
        <v>PC3.03_Ind03</v>
      </c>
      <c r="D4" s="787"/>
      <c r="E4" s="917" t="s">
        <v>194</v>
      </c>
      <c r="F4" s="789"/>
      <c r="G4" s="786" t="str">
        <f>Índex!C41</f>
        <v>Percentatge d’alumnat estranger (Graus)</v>
      </c>
      <c r="H4" s="787"/>
      <c r="I4" s="787"/>
    </row>
    <row r="5" spans="1:13" ht="22.5" customHeight="1" x14ac:dyDescent="0.2">
      <c r="A5" s="917" t="s">
        <v>195</v>
      </c>
      <c r="B5" s="789"/>
      <c r="C5" s="918" t="str">
        <f>Índex!F41</f>
        <v>&lt;10%</v>
      </c>
      <c r="D5" s="786"/>
      <c r="E5" s="919" t="s">
        <v>196</v>
      </c>
      <c r="F5" s="789"/>
      <c r="G5" s="871" t="s">
        <v>216</v>
      </c>
      <c r="H5" s="787"/>
      <c r="I5" s="787"/>
    </row>
    <row r="6" spans="1:13" ht="22.5" customHeight="1" x14ac:dyDescent="0.2">
      <c r="A6" s="917" t="s">
        <v>632</v>
      </c>
      <c r="B6" s="917"/>
      <c r="C6" s="918" t="str">
        <f>Índex!H41</f>
        <v>Objectiu de Qualitat. Qualitat dels programes formatius</v>
      </c>
      <c r="D6" s="786"/>
      <c r="E6" s="919" t="s">
        <v>462</v>
      </c>
      <c r="F6" s="919"/>
      <c r="G6" s="912"/>
      <c r="H6" s="913"/>
      <c r="I6" s="914"/>
    </row>
    <row r="7" spans="1:13" ht="22.5" customHeight="1" x14ac:dyDescent="0.2">
      <c r="A7" s="920" t="s">
        <v>463</v>
      </c>
      <c r="B7" s="921"/>
      <c r="C7" s="918"/>
      <c r="D7" s="918"/>
      <c r="E7" s="919" t="s">
        <v>639</v>
      </c>
      <c r="F7" s="919"/>
      <c r="G7" s="912" t="s">
        <v>198</v>
      </c>
      <c r="H7" s="913"/>
      <c r="I7" s="914"/>
    </row>
    <row r="8" spans="1:13" ht="22.5" customHeight="1" x14ac:dyDescent="0.2">
      <c r="A8" s="917" t="s">
        <v>465</v>
      </c>
      <c r="B8" s="789"/>
      <c r="C8" s="786"/>
      <c r="D8" s="787"/>
      <c r="E8" s="917" t="s">
        <v>637</v>
      </c>
      <c r="F8" s="789"/>
      <c r="G8" s="731" t="str">
        <f>Índex!E41</f>
        <v>Gestora de Qualitat</v>
      </c>
      <c r="H8" s="915"/>
      <c r="I8" s="916"/>
    </row>
    <row r="9" spans="1:13" ht="50.25" customHeight="1" x14ac:dyDescent="0.2">
      <c r="A9" s="917" t="s">
        <v>461</v>
      </c>
      <c r="B9" s="789"/>
      <c r="C9" s="786" t="str">
        <f>Índex!G41</f>
        <v>PC3.03. Mobilitat de l’Alumnat</v>
      </c>
      <c r="D9" s="787"/>
      <c r="E9" s="917" t="s">
        <v>467</v>
      </c>
      <c r="F9" s="917"/>
      <c r="G9" s="786" t="s">
        <v>519</v>
      </c>
      <c r="H9" s="787"/>
      <c r="I9" s="787"/>
    </row>
    <row r="10" spans="1:13" ht="7.5" customHeight="1" x14ac:dyDescent="0.2"/>
    <row r="11" spans="1:13" ht="22.5" customHeight="1" x14ac:dyDescent="0.2">
      <c r="A11" s="567" t="s">
        <v>468</v>
      </c>
      <c r="B11" s="568"/>
      <c r="C11" s="568"/>
      <c r="D11" s="568"/>
      <c r="E11" s="568"/>
      <c r="F11" s="568"/>
      <c r="G11" s="568"/>
      <c r="H11" s="568"/>
      <c r="I11" s="569"/>
    </row>
    <row r="12" spans="1:13" ht="22.5" customHeight="1" x14ac:dyDescent="0.2">
      <c r="A12" s="13"/>
      <c r="B12" s="12"/>
      <c r="C12" s="12"/>
      <c r="D12" s="12"/>
      <c r="E12" s="12"/>
      <c r="F12" s="12"/>
      <c r="G12" s="12"/>
      <c r="H12" s="12"/>
      <c r="I12" s="12"/>
    </row>
    <row r="13" spans="1:13" ht="39" customHeight="1" x14ac:dyDescent="0.2">
      <c r="A13" s="506" t="s">
        <v>623</v>
      </c>
    </row>
    <row r="14" spans="1:13" ht="22.5" customHeight="1" thickBot="1" x14ac:dyDescent="0.3">
      <c r="A14" s="507"/>
    </row>
    <row r="15" spans="1:13" ht="22.5" customHeight="1" thickBot="1" x14ac:dyDescent="0.25">
      <c r="A15" s="489"/>
      <c r="B15" s="930" t="s">
        <v>203</v>
      </c>
      <c r="C15" s="931"/>
      <c r="D15" s="932"/>
      <c r="E15" s="922" t="s">
        <v>204</v>
      </c>
      <c r="F15" s="931"/>
      <c r="G15" s="932"/>
      <c r="H15" s="922" t="s">
        <v>205</v>
      </c>
      <c r="I15" s="931"/>
      <c r="J15" s="932"/>
      <c r="K15" s="922" t="s">
        <v>256</v>
      </c>
      <c r="L15" s="923"/>
    </row>
    <row r="16" spans="1:13" ht="22.5" customHeight="1" thickBot="1" x14ac:dyDescent="0.25">
      <c r="A16" s="353" t="s">
        <v>550</v>
      </c>
      <c r="B16" s="490" t="s">
        <v>331</v>
      </c>
      <c r="C16" s="490" t="s">
        <v>332</v>
      </c>
      <c r="D16" s="491" t="s">
        <v>239</v>
      </c>
      <c r="E16" s="490" t="s">
        <v>620</v>
      </c>
      <c r="F16" s="490" t="s">
        <v>332</v>
      </c>
      <c r="G16" s="491" t="s">
        <v>239</v>
      </c>
      <c r="H16" s="490" t="s">
        <v>331</v>
      </c>
      <c r="I16" s="490" t="s">
        <v>332</v>
      </c>
      <c r="J16" s="491" t="s">
        <v>239</v>
      </c>
      <c r="K16" s="490" t="s">
        <v>331</v>
      </c>
      <c r="L16" s="490" t="s">
        <v>332</v>
      </c>
      <c r="M16" s="491" t="s">
        <v>239</v>
      </c>
    </row>
    <row r="17" spans="1:13" ht="22.5" customHeight="1" thickBot="1" x14ac:dyDescent="0.25">
      <c r="A17" s="256" t="s">
        <v>521</v>
      </c>
      <c r="B17" s="492">
        <v>0</v>
      </c>
      <c r="C17" s="492">
        <v>0</v>
      </c>
      <c r="D17" s="493">
        <v>0</v>
      </c>
      <c r="E17" s="492">
        <v>0</v>
      </c>
      <c r="F17" s="492">
        <v>0</v>
      </c>
      <c r="G17" s="493">
        <v>0</v>
      </c>
      <c r="H17" s="492">
        <v>1</v>
      </c>
      <c r="I17" s="492">
        <v>0</v>
      </c>
      <c r="J17" s="493">
        <v>1</v>
      </c>
      <c r="K17" s="492">
        <v>2</v>
      </c>
      <c r="L17" s="492">
        <v>0</v>
      </c>
      <c r="M17" s="493">
        <v>2</v>
      </c>
    </row>
    <row r="18" spans="1:13" ht="22.5" customHeight="1" thickBot="1" x14ac:dyDescent="0.25">
      <c r="A18" s="256" t="s">
        <v>360</v>
      </c>
      <c r="B18" s="492">
        <v>1</v>
      </c>
      <c r="C18" s="492">
        <v>3</v>
      </c>
      <c r="D18" s="493">
        <v>4</v>
      </c>
      <c r="E18" s="492">
        <v>0</v>
      </c>
      <c r="F18" s="492">
        <v>5</v>
      </c>
      <c r="G18" s="493">
        <v>5</v>
      </c>
      <c r="H18" s="492">
        <v>0</v>
      </c>
      <c r="I18" s="492">
        <v>2</v>
      </c>
      <c r="J18" s="493">
        <v>2</v>
      </c>
      <c r="K18" s="492">
        <v>0</v>
      </c>
      <c r="L18" s="492">
        <v>2</v>
      </c>
      <c r="M18" s="493">
        <v>2</v>
      </c>
    </row>
    <row r="19" spans="1:13" ht="22.5" customHeight="1" thickBot="1" x14ac:dyDescent="0.25">
      <c r="A19" s="256" t="s">
        <v>361</v>
      </c>
      <c r="B19" s="492">
        <v>1</v>
      </c>
      <c r="C19" s="492">
        <v>1</v>
      </c>
      <c r="D19" s="493">
        <v>2</v>
      </c>
      <c r="E19" s="492">
        <v>0</v>
      </c>
      <c r="F19" s="492">
        <v>1</v>
      </c>
      <c r="G19" s="493">
        <v>1</v>
      </c>
      <c r="H19" s="492">
        <v>0</v>
      </c>
      <c r="I19" s="492">
        <v>0</v>
      </c>
      <c r="J19" s="493">
        <v>0</v>
      </c>
      <c r="K19" s="492">
        <v>0</v>
      </c>
      <c r="L19" s="492">
        <v>1</v>
      </c>
      <c r="M19" s="493">
        <v>1</v>
      </c>
    </row>
    <row r="20" spans="1:13" ht="15.75" customHeight="1" thickBot="1" x14ac:dyDescent="0.25">
      <c r="A20" s="256" t="s">
        <v>522</v>
      </c>
      <c r="B20" s="492">
        <v>0</v>
      </c>
      <c r="C20" s="492">
        <v>0</v>
      </c>
      <c r="D20" s="493">
        <v>0</v>
      </c>
      <c r="E20" s="492">
        <v>0</v>
      </c>
      <c r="F20" s="492">
        <v>0</v>
      </c>
      <c r="G20" s="493">
        <v>0</v>
      </c>
      <c r="H20" s="492">
        <v>0</v>
      </c>
      <c r="I20" s="492">
        <v>0</v>
      </c>
      <c r="J20" s="493">
        <v>0</v>
      </c>
      <c r="K20" s="492">
        <v>0</v>
      </c>
      <c r="L20" s="492">
        <v>0</v>
      </c>
      <c r="M20" s="493">
        <v>0</v>
      </c>
    </row>
    <row r="21" spans="1:13" ht="19.5" customHeight="1" thickBot="1" x14ac:dyDescent="0.25">
      <c r="A21" s="256" t="s">
        <v>523</v>
      </c>
      <c r="B21" s="492">
        <v>2</v>
      </c>
      <c r="C21" s="492">
        <v>1</v>
      </c>
      <c r="D21" s="493">
        <v>3</v>
      </c>
      <c r="E21" s="492">
        <v>2</v>
      </c>
      <c r="F21" s="492">
        <v>0</v>
      </c>
      <c r="G21" s="493">
        <v>2</v>
      </c>
      <c r="H21" s="492">
        <v>2</v>
      </c>
      <c r="I21" s="492">
        <v>1</v>
      </c>
      <c r="J21" s="493">
        <v>3</v>
      </c>
      <c r="K21" s="492">
        <v>0</v>
      </c>
      <c r="L21" s="492">
        <v>0</v>
      </c>
      <c r="M21" s="493">
        <v>0</v>
      </c>
    </row>
    <row r="22" spans="1:13" ht="19.5" customHeight="1" thickBot="1" x14ac:dyDescent="0.25">
      <c r="A22" s="256" t="s">
        <v>524</v>
      </c>
      <c r="B22" s="492">
        <v>0</v>
      </c>
      <c r="C22" s="492">
        <v>2</v>
      </c>
      <c r="D22" s="493">
        <v>2</v>
      </c>
      <c r="E22" s="492">
        <v>0</v>
      </c>
      <c r="F22" s="492">
        <v>2</v>
      </c>
      <c r="G22" s="493">
        <v>2</v>
      </c>
      <c r="H22" s="492">
        <v>0</v>
      </c>
      <c r="I22" s="492">
        <v>2</v>
      </c>
      <c r="J22" s="493">
        <v>2</v>
      </c>
      <c r="K22" s="492">
        <v>0</v>
      </c>
      <c r="L22" s="492">
        <v>2</v>
      </c>
      <c r="M22" s="493">
        <v>2</v>
      </c>
    </row>
    <row r="23" spans="1:13" ht="19.5" customHeight="1" thickBot="1" x14ac:dyDescent="0.25">
      <c r="A23" s="256" t="s">
        <v>525</v>
      </c>
      <c r="B23" s="492">
        <v>1</v>
      </c>
      <c r="C23" s="492">
        <v>2</v>
      </c>
      <c r="D23" s="493">
        <v>3</v>
      </c>
      <c r="E23" s="492">
        <v>1</v>
      </c>
      <c r="F23" s="492">
        <v>1</v>
      </c>
      <c r="G23" s="493">
        <v>2</v>
      </c>
      <c r="H23" s="492">
        <v>1</v>
      </c>
      <c r="I23" s="492">
        <v>2</v>
      </c>
      <c r="J23" s="493">
        <v>3</v>
      </c>
      <c r="K23" s="492">
        <v>0</v>
      </c>
      <c r="L23" s="492">
        <v>2</v>
      </c>
      <c r="M23" s="493">
        <v>2</v>
      </c>
    </row>
    <row r="24" spans="1:13" ht="19.5" customHeight="1" thickBot="1" x14ac:dyDescent="0.25">
      <c r="A24" s="256" t="s">
        <v>362</v>
      </c>
      <c r="B24" s="492">
        <v>0</v>
      </c>
      <c r="C24" s="492">
        <v>1</v>
      </c>
      <c r="D24" s="493">
        <v>1</v>
      </c>
      <c r="E24" s="492">
        <v>0</v>
      </c>
      <c r="F24" s="492">
        <v>1</v>
      </c>
      <c r="G24" s="493">
        <v>1</v>
      </c>
      <c r="H24" s="492">
        <v>0</v>
      </c>
      <c r="I24" s="492">
        <v>1</v>
      </c>
      <c r="J24" s="493">
        <v>1</v>
      </c>
      <c r="K24" s="492">
        <v>0</v>
      </c>
      <c r="L24" s="492">
        <v>1</v>
      </c>
      <c r="M24" s="493">
        <v>1</v>
      </c>
    </row>
    <row r="25" spans="1:13" ht="19.5" customHeight="1" thickBot="1" x14ac:dyDescent="0.25">
      <c r="A25" s="256" t="s">
        <v>526</v>
      </c>
      <c r="B25" s="492">
        <v>0</v>
      </c>
      <c r="C25" s="492">
        <v>0</v>
      </c>
      <c r="D25" s="493">
        <v>0</v>
      </c>
      <c r="E25" s="492">
        <v>0</v>
      </c>
      <c r="F25" s="492">
        <v>1</v>
      </c>
      <c r="G25" s="493">
        <v>1</v>
      </c>
      <c r="H25" s="492">
        <v>0</v>
      </c>
      <c r="I25" s="492">
        <v>0</v>
      </c>
      <c r="J25" s="493">
        <v>0</v>
      </c>
      <c r="K25" s="492">
        <v>0</v>
      </c>
      <c r="L25" s="492">
        <v>0</v>
      </c>
      <c r="M25" s="493">
        <v>0</v>
      </c>
    </row>
    <row r="26" spans="1:13" ht="19.5" customHeight="1" thickBot="1" x14ac:dyDescent="0.25">
      <c r="A26" s="256" t="s">
        <v>527</v>
      </c>
      <c r="B26" s="492">
        <v>2</v>
      </c>
      <c r="C26" s="492">
        <v>0</v>
      </c>
      <c r="D26" s="493">
        <v>2</v>
      </c>
      <c r="E26" s="492">
        <v>2</v>
      </c>
      <c r="F26" s="492">
        <v>0</v>
      </c>
      <c r="G26" s="493">
        <v>2</v>
      </c>
      <c r="H26" s="492">
        <v>2</v>
      </c>
      <c r="I26" s="492">
        <v>0</v>
      </c>
      <c r="J26" s="493">
        <v>2</v>
      </c>
      <c r="K26" s="492">
        <v>1</v>
      </c>
      <c r="L26" s="492">
        <v>0</v>
      </c>
      <c r="M26" s="493">
        <v>1</v>
      </c>
    </row>
    <row r="27" spans="1:13" ht="19.5" customHeight="1" thickBot="1" x14ac:dyDescent="0.25">
      <c r="A27" s="256" t="s">
        <v>528</v>
      </c>
      <c r="B27" s="492">
        <v>0</v>
      </c>
      <c r="C27" s="492">
        <v>0</v>
      </c>
      <c r="D27" s="493">
        <v>0</v>
      </c>
      <c r="E27" s="492">
        <v>0</v>
      </c>
      <c r="F27" s="492">
        <v>1</v>
      </c>
      <c r="G27" s="493">
        <v>1</v>
      </c>
      <c r="H27" s="492">
        <v>0</v>
      </c>
      <c r="I27" s="492">
        <v>1</v>
      </c>
      <c r="J27" s="493">
        <v>1</v>
      </c>
      <c r="K27" s="492">
        <v>0</v>
      </c>
      <c r="L27" s="492">
        <v>3</v>
      </c>
      <c r="M27" s="493">
        <v>3</v>
      </c>
    </row>
    <row r="28" spans="1:13" ht="19.5" customHeight="1" thickBot="1" x14ac:dyDescent="0.25">
      <c r="A28" s="256" t="s">
        <v>529</v>
      </c>
      <c r="B28" s="492">
        <v>0</v>
      </c>
      <c r="C28" s="492">
        <v>0</v>
      </c>
      <c r="D28" s="493">
        <v>0</v>
      </c>
      <c r="E28" s="492">
        <v>0</v>
      </c>
      <c r="F28" s="492">
        <v>0</v>
      </c>
      <c r="G28" s="493">
        <v>0</v>
      </c>
      <c r="H28" s="492">
        <v>0</v>
      </c>
      <c r="I28" s="492">
        <v>0</v>
      </c>
      <c r="J28" s="493">
        <v>0</v>
      </c>
      <c r="K28" s="492">
        <v>0</v>
      </c>
      <c r="L28" s="492">
        <v>0</v>
      </c>
      <c r="M28" s="493">
        <v>0</v>
      </c>
    </row>
    <row r="29" spans="1:13" ht="19.5" customHeight="1" thickBot="1" x14ac:dyDescent="0.25">
      <c r="A29" s="256" t="s">
        <v>530</v>
      </c>
      <c r="B29" s="492">
        <v>0</v>
      </c>
      <c r="C29" s="492">
        <v>1</v>
      </c>
      <c r="D29" s="493">
        <v>1</v>
      </c>
      <c r="E29" s="492">
        <v>0</v>
      </c>
      <c r="F29" s="492">
        <v>1</v>
      </c>
      <c r="G29" s="493">
        <v>1</v>
      </c>
      <c r="H29" s="492">
        <v>0</v>
      </c>
      <c r="I29" s="492">
        <v>2</v>
      </c>
      <c r="J29" s="493">
        <v>2</v>
      </c>
      <c r="K29" s="492">
        <v>0</v>
      </c>
      <c r="L29" s="492">
        <v>2</v>
      </c>
      <c r="M29" s="493">
        <v>2</v>
      </c>
    </row>
    <row r="30" spans="1:13" ht="19.5" customHeight="1" thickBot="1" x14ac:dyDescent="0.25">
      <c r="A30" s="256" t="s">
        <v>531</v>
      </c>
      <c r="B30" s="492">
        <v>0</v>
      </c>
      <c r="C30" s="492">
        <v>0</v>
      </c>
      <c r="D30" s="493">
        <v>0</v>
      </c>
      <c r="E30" s="492">
        <v>1</v>
      </c>
      <c r="F30" s="492">
        <v>0</v>
      </c>
      <c r="G30" s="493">
        <v>1</v>
      </c>
      <c r="H30" s="492">
        <v>1</v>
      </c>
      <c r="I30" s="492">
        <v>0</v>
      </c>
      <c r="J30" s="493">
        <v>1</v>
      </c>
      <c r="K30" s="492">
        <v>1</v>
      </c>
      <c r="L30" s="492">
        <v>0</v>
      </c>
      <c r="M30" s="493">
        <v>1</v>
      </c>
    </row>
    <row r="31" spans="1:13" ht="19.5" customHeight="1" thickBot="1" x14ac:dyDescent="0.25">
      <c r="A31" s="256" t="s">
        <v>532</v>
      </c>
      <c r="B31" s="492">
        <v>2</v>
      </c>
      <c r="C31" s="492">
        <v>4</v>
      </c>
      <c r="D31" s="493">
        <v>6</v>
      </c>
      <c r="E31" s="492">
        <v>1</v>
      </c>
      <c r="F31" s="492">
        <v>5</v>
      </c>
      <c r="G31" s="493">
        <v>6</v>
      </c>
      <c r="H31" s="492">
        <v>2</v>
      </c>
      <c r="I31" s="492">
        <v>5</v>
      </c>
      <c r="J31" s="493">
        <v>7</v>
      </c>
      <c r="K31" s="492">
        <v>1</v>
      </c>
      <c r="L31" s="492">
        <v>6</v>
      </c>
      <c r="M31" s="493">
        <v>7</v>
      </c>
    </row>
    <row r="32" spans="1:13" ht="19.5" customHeight="1" thickBot="1" x14ac:dyDescent="0.25">
      <c r="A32" s="256" t="s">
        <v>533</v>
      </c>
      <c r="B32" s="492">
        <v>0</v>
      </c>
      <c r="C32" s="492">
        <v>0</v>
      </c>
      <c r="D32" s="493">
        <v>0</v>
      </c>
      <c r="E32" s="492">
        <v>0</v>
      </c>
      <c r="F32" s="492">
        <v>0</v>
      </c>
      <c r="G32" s="493">
        <v>0</v>
      </c>
      <c r="H32" s="492">
        <v>0</v>
      </c>
      <c r="I32" s="492">
        <v>1</v>
      </c>
      <c r="J32" s="493">
        <v>1</v>
      </c>
      <c r="K32" s="492">
        <v>0</v>
      </c>
      <c r="L32" s="492">
        <v>1</v>
      </c>
      <c r="M32" s="493">
        <v>1</v>
      </c>
    </row>
    <row r="33" spans="1:13" ht="19.5" customHeight="1" thickBot="1" x14ac:dyDescent="0.25">
      <c r="A33" s="256" t="s">
        <v>534</v>
      </c>
      <c r="B33" s="492">
        <v>4</v>
      </c>
      <c r="C33" s="492">
        <v>2</v>
      </c>
      <c r="D33" s="493">
        <v>6</v>
      </c>
      <c r="E33" s="492">
        <v>3</v>
      </c>
      <c r="F33" s="492">
        <v>2</v>
      </c>
      <c r="G33" s="493">
        <v>5</v>
      </c>
      <c r="H33" s="492">
        <v>2</v>
      </c>
      <c r="I33" s="492">
        <v>2</v>
      </c>
      <c r="J33" s="493">
        <v>4</v>
      </c>
      <c r="K33" s="492">
        <v>4</v>
      </c>
      <c r="L33" s="492">
        <v>0</v>
      </c>
      <c r="M33" s="493">
        <v>4</v>
      </c>
    </row>
    <row r="34" spans="1:13" ht="19.5" customHeight="1" thickBot="1" x14ac:dyDescent="0.25">
      <c r="A34" s="256" t="s">
        <v>535</v>
      </c>
      <c r="B34" s="492">
        <v>1</v>
      </c>
      <c r="C34" s="492">
        <v>0</v>
      </c>
      <c r="D34" s="493">
        <v>1</v>
      </c>
      <c r="E34" s="492">
        <v>0</v>
      </c>
      <c r="F34" s="492">
        <v>0</v>
      </c>
      <c r="G34" s="493">
        <v>0</v>
      </c>
      <c r="H34" s="492">
        <v>0</v>
      </c>
      <c r="I34" s="492">
        <v>0</v>
      </c>
      <c r="J34" s="493">
        <v>0</v>
      </c>
      <c r="K34" s="492">
        <v>0</v>
      </c>
      <c r="L34" s="492">
        <v>1</v>
      </c>
      <c r="M34" s="493">
        <v>1</v>
      </c>
    </row>
    <row r="35" spans="1:13" ht="19.5" customHeight="1" thickBot="1" x14ac:dyDescent="0.25">
      <c r="A35" s="256" t="s">
        <v>536</v>
      </c>
      <c r="B35" s="492">
        <v>0</v>
      </c>
      <c r="C35" s="492">
        <v>2</v>
      </c>
      <c r="D35" s="493">
        <v>2</v>
      </c>
      <c r="E35" s="492">
        <v>0</v>
      </c>
      <c r="F35" s="492">
        <v>2</v>
      </c>
      <c r="G35" s="493">
        <v>2</v>
      </c>
      <c r="H35" s="492">
        <v>0</v>
      </c>
      <c r="I35" s="492">
        <v>2</v>
      </c>
      <c r="J35" s="493">
        <v>2</v>
      </c>
      <c r="K35" s="492">
        <v>0</v>
      </c>
      <c r="L35" s="492">
        <v>0</v>
      </c>
      <c r="M35" s="493">
        <v>0</v>
      </c>
    </row>
    <row r="36" spans="1:13" ht="19.5" customHeight="1" thickBot="1" x14ac:dyDescent="0.25">
      <c r="A36" s="256" t="s">
        <v>537</v>
      </c>
      <c r="B36" s="492">
        <v>0</v>
      </c>
      <c r="C36" s="492">
        <v>2</v>
      </c>
      <c r="D36" s="493">
        <v>2</v>
      </c>
      <c r="E36" s="492">
        <v>0</v>
      </c>
      <c r="F36" s="492">
        <v>2</v>
      </c>
      <c r="G36" s="493">
        <v>2</v>
      </c>
      <c r="H36" s="492">
        <v>0</v>
      </c>
      <c r="I36" s="492">
        <v>1</v>
      </c>
      <c r="J36" s="493">
        <v>1</v>
      </c>
      <c r="K36" s="492">
        <v>0</v>
      </c>
      <c r="L36" s="492">
        <v>0</v>
      </c>
      <c r="M36" s="493">
        <v>0</v>
      </c>
    </row>
    <row r="37" spans="1:13" ht="19.5" customHeight="1" thickBot="1" x14ac:dyDescent="0.25">
      <c r="A37" s="256" t="s">
        <v>538</v>
      </c>
      <c r="B37" s="492">
        <v>2</v>
      </c>
      <c r="C37" s="492">
        <v>0</v>
      </c>
      <c r="D37" s="493">
        <v>2</v>
      </c>
      <c r="E37" s="492">
        <v>1</v>
      </c>
      <c r="F37" s="492">
        <v>0</v>
      </c>
      <c r="G37" s="493">
        <v>1</v>
      </c>
      <c r="H37" s="492">
        <v>2</v>
      </c>
      <c r="I37" s="492">
        <v>0</v>
      </c>
      <c r="J37" s="493">
        <v>2</v>
      </c>
      <c r="K37" s="492">
        <v>1</v>
      </c>
      <c r="L37" s="492">
        <v>0</v>
      </c>
      <c r="M37" s="493">
        <v>1</v>
      </c>
    </row>
    <row r="38" spans="1:13" ht="19.5" customHeight="1" thickBot="1" x14ac:dyDescent="0.25">
      <c r="A38" s="256" t="s">
        <v>539</v>
      </c>
      <c r="B38" s="492">
        <v>0</v>
      </c>
      <c r="C38" s="492">
        <v>1</v>
      </c>
      <c r="D38" s="493">
        <v>1</v>
      </c>
      <c r="E38" s="492">
        <v>0</v>
      </c>
      <c r="F38" s="492">
        <v>1</v>
      </c>
      <c r="G38" s="493">
        <v>1</v>
      </c>
      <c r="H38" s="492">
        <v>1</v>
      </c>
      <c r="I38" s="492">
        <v>1</v>
      </c>
      <c r="J38" s="493">
        <v>2</v>
      </c>
      <c r="K38" s="492">
        <v>2</v>
      </c>
      <c r="L38" s="492">
        <v>1</v>
      </c>
      <c r="M38" s="493">
        <v>3</v>
      </c>
    </row>
    <row r="39" spans="1:13" ht="19.5" customHeight="1" thickBot="1" x14ac:dyDescent="0.25">
      <c r="A39" s="256" t="s">
        <v>540</v>
      </c>
      <c r="B39" s="492">
        <v>0</v>
      </c>
      <c r="C39" s="492">
        <v>0</v>
      </c>
      <c r="D39" s="493">
        <v>0</v>
      </c>
      <c r="E39" s="492">
        <v>0</v>
      </c>
      <c r="F39" s="492">
        <v>0</v>
      </c>
      <c r="G39" s="493">
        <v>0</v>
      </c>
      <c r="H39" s="492">
        <v>0</v>
      </c>
      <c r="I39" s="492">
        <v>0</v>
      </c>
      <c r="J39" s="493">
        <v>0</v>
      </c>
      <c r="K39" s="492">
        <v>0</v>
      </c>
      <c r="L39" s="492">
        <v>1</v>
      </c>
      <c r="M39" s="493">
        <v>1</v>
      </c>
    </row>
    <row r="40" spans="1:13" ht="19.5" customHeight="1" thickBot="1" x14ac:dyDescent="0.25">
      <c r="A40" s="256" t="s">
        <v>363</v>
      </c>
      <c r="B40" s="492">
        <v>0</v>
      </c>
      <c r="C40" s="492">
        <v>2</v>
      </c>
      <c r="D40" s="493">
        <v>2</v>
      </c>
      <c r="E40" s="492">
        <v>0</v>
      </c>
      <c r="F40" s="492">
        <v>2</v>
      </c>
      <c r="G40" s="493">
        <v>2</v>
      </c>
      <c r="H40" s="492">
        <v>1</v>
      </c>
      <c r="I40" s="492">
        <v>1</v>
      </c>
      <c r="J40" s="493">
        <v>2</v>
      </c>
      <c r="K40" s="492">
        <v>0</v>
      </c>
      <c r="L40" s="492">
        <v>1</v>
      </c>
      <c r="M40" s="493">
        <v>1</v>
      </c>
    </row>
    <row r="41" spans="1:13" ht="19.5" customHeight="1" thickBot="1" x14ac:dyDescent="0.25">
      <c r="A41" s="256" t="s">
        <v>541</v>
      </c>
      <c r="B41" s="492">
        <v>1</v>
      </c>
      <c r="C41" s="492">
        <v>0</v>
      </c>
      <c r="D41" s="493">
        <v>1</v>
      </c>
      <c r="E41" s="492">
        <v>2</v>
      </c>
      <c r="F41" s="492">
        <v>0</v>
      </c>
      <c r="G41" s="493">
        <v>2</v>
      </c>
      <c r="H41" s="492">
        <v>2</v>
      </c>
      <c r="I41" s="492">
        <v>0</v>
      </c>
      <c r="J41" s="493">
        <v>2</v>
      </c>
      <c r="K41" s="492">
        <v>2</v>
      </c>
      <c r="L41" s="492">
        <v>1</v>
      </c>
      <c r="M41" s="493">
        <v>3</v>
      </c>
    </row>
    <row r="42" spans="1:13" ht="19.5" customHeight="1" thickBot="1" x14ac:dyDescent="0.25">
      <c r="A42" s="256" t="s">
        <v>364</v>
      </c>
      <c r="B42" s="492">
        <v>3</v>
      </c>
      <c r="C42" s="492">
        <v>2</v>
      </c>
      <c r="D42" s="493">
        <v>5</v>
      </c>
      <c r="E42" s="492">
        <v>2</v>
      </c>
      <c r="F42" s="492">
        <v>1</v>
      </c>
      <c r="G42" s="493">
        <v>3</v>
      </c>
      <c r="H42" s="492">
        <v>3</v>
      </c>
      <c r="I42" s="492">
        <v>1</v>
      </c>
      <c r="J42" s="493">
        <v>4</v>
      </c>
      <c r="K42" s="492">
        <v>3</v>
      </c>
      <c r="L42" s="492">
        <v>2</v>
      </c>
      <c r="M42" s="493">
        <v>5</v>
      </c>
    </row>
    <row r="43" spans="1:13" ht="19.5" customHeight="1" thickBot="1" x14ac:dyDescent="0.25">
      <c r="A43" s="256" t="s">
        <v>542</v>
      </c>
      <c r="B43" s="492">
        <v>0</v>
      </c>
      <c r="C43" s="492">
        <v>0</v>
      </c>
      <c r="D43" s="493">
        <v>0</v>
      </c>
      <c r="E43" s="492">
        <v>0</v>
      </c>
      <c r="F43" s="492">
        <v>0</v>
      </c>
      <c r="G43" s="493">
        <v>0</v>
      </c>
      <c r="H43" s="492">
        <v>2</v>
      </c>
      <c r="I43" s="492">
        <v>0</v>
      </c>
      <c r="J43" s="493">
        <v>2</v>
      </c>
      <c r="K43" s="492">
        <v>1</v>
      </c>
      <c r="L43" s="492">
        <v>2</v>
      </c>
      <c r="M43" s="493">
        <v>3</v>
      </c>
    </row>
    <row r="44" spans="1:13" ht="19.5" customHeight="1" thickBot="1" x14ac:dyDescent="0.25">
      <c r="A44" s="256" t="s">
        <v>543</v>
      </c>
      <c r="B44" s="492">
        <v>0</v>
      </c>
      <c r="C44" s="492">
        <v>0</v>
      </c>
      <c r="D44" s="493">
        <v>0</v>
      </c>
      <c r="E44" s="492">
        <v>0</v>
      </c>
      <c r="F44" s="492">
        <v>0</v>
      </c>
      <c r="G44" s="493">
        <v>0</v>
      </c>
      <c r="H44" s="492">
        <v>0</v>
      </c>
      <c r="I44" s="492">
        <v>0</v>
      </c>
      <c r="J44" s="493">
        <v>0</v>
      </c>
      <c r="K44" s="492">
        <v>0</v>
      </c>
      <c r="L44" s="492">
        <v>0</v>
      </c>
      <c r="M44" s="493">
        <v>0</v>
      </c>
    </row>
    <row r="45" spans="1:13" ht="19.5" customHeight="1" thickBot="1" x14ac:dyDescent="0.25">
      <c r="A45" s="256" t="s">
        <v>544</v>
      </c>
      <c r="B45" s="492">
        <v>0</v>
      </c>
      <c r="C45" s="492">
        <v>1</v>
      </c>
      <c r="D45" s="493">
        <v>1</v>
      </c>
      <c r="E45" s="492">
        <v>0</v>
      </c>
      <c r="F45" s="492">
        <v>1</v>
      </c>
      <c r="G45" s="493">
        <v>1</v>
      </c>
      <c r="H45" s="492">
        <v>0</v>
      </c>
      <c r="I45" s="492">
        <v>1</v>
      </c>
      <c r="J45" s="493">
        <v>1</v>
      </c>
      <c r="K45" s="492">
        <v>0</v>
      </c>
      <c r="L45" s="492">
        <v>1</v>
      </c>
      <c r="M45" s="493">
        <v>1</v>
      </c>
    </row>
    <row r="46" spans="1:13" ht="19.5" customHeight="1" thickBot="1" x14ac:dyDescent="0.25">
      <c r="A46" s="256" t="s">
        <v>545</v>
      </c>
      <c r="B46" s="492">
        <v>0</v>
      </c>
      <c r="C46" s="492">
        <v>0</v>
      </c>
      <c r="D46" s="493">
        <v>0</v>
      </c>
      <c r="E46" s="492">
        <v>0</v>
      </c>
      <c r="F46" s="492">
        <v>0</v>
      </c>
      <c r="G46" s="493">
        <v>0</v>
      </c>
      <c r="H46" s="492">
        <v>0</v>
      </c>
      <c r="I46" s="492">
        <v>0</v>
      </c>
      <c r="J46" s="493">
        <v>0</v>
      </c>
      <c r="K46" s="492">
        <v>0</v>
      </c>
      <c r="L46" s="492">
        <v>1</v>
      </c>
      <c r="M46" s="493">
        <v>1</v>
      </c>
    </row>
    <row r="47" spans="1:13" ht="19.5" customHeight="1" thickBot="1" x14ac:dyDescent="0.25">
      <c r="A47" s="256" t="s">
        <v>546</v>
      </c>
      <c r="B47" s="492">
        <v>0</v>
      </c>
      <c r="C47" s="492">
        <v>1</v>
      </c>
      <c r="D47" s="493">
        <v>1</v>
      </c>
      <c r="E47" s="492">
        <v>0</v>
      </c>
      <c r="F47" s="492">
        <v>1</v>
      </c>
      <c r="G47" s="493">
        <v>1</v>
      </c>
      <c r="H47" s="492">
        <v>0</v>
      </c>
      <c r="I47" s="492">
        <v>1</v>
      </c>
      <c r="J47" s="493">
        <v>1</v>
      </c>
      <c r="K47" s="492">
        <v>0</v>
      </c>
      <c r="L47" s="492">
        <v>0</v>
      </c>
      <c r="M47" s="493">
        <v>0</v>
      </c>
    </row>
    <row r="48" spans="1:13" ht="19.5" customHeight="1" thickBot="1" x14ac:dyDescent="0.25">
      <c r="A48" s="256" t="s">
        <v>547</v>
      </c>
      <c r="B48" s="492">
        <v>1</v>
      </c>
      <c r="C48" s="492">
        <v>0</v>
      </c>
      <c r="D48" s="493">
        <v>1</v>
      </c>
      <c r="E48" s="492">
        <v>1</v>
      </c>
      <c r="F48" s="492">
        <v>0</v>
      </c>
      <c r="G48" s="493">
        <v>1</v>
      </c>
      <c r="H48" s="492">
        <v>0</v>
      </c>
      <c r="I48" s="492">
        <v>0</v>
      </c>
      <c r="J48" s="493">
        <v>0</v>
      </c>
      <c r="K48" s="492">
        <v>0</v>
      </c>
      <c r="L48" s="492">
        <v>0</v>
      </c>
      <c r="M48" s="493">
        <v>0</v>
      </c>
    </row>
    <row r="49" spans="1:13" ht="19.5" customHeight="1" thickBot="1" x14ac:dyDescent="0.25">
      <c r="A49" s="256" t="s">
        <v>548</v>
      </c>
      <c r="B49" s="492">
        <v>1</v>
      </c>
      <c r="C49" s="492">
        <v>0</v>
      </c>
      <c r="D49" s="493">
        <v>1</v>
      </c>
      <c r="E49" s="492">
        <v>1</v>
      </c>
      <c r="F49" s="492">
        <v>0</v>
      </c>
      <c r="G49" s="493">
        <v>1</v>
      </c>
      <c r="H49" s="492">
        <v>1</v>
      </c>
      <c r="I49" s="492">
        <v>0</v>
      </c>
      <c r="J49" s="493">
        <v>1</v>
      </c>
      <c r="K49" s="492">
        <v>0</v>
      </c>
      <c r="L49" s="492">
        <v>0</v>
      </c>
      <c r="M49" s="493">
        <v>0</v>
      </c>
    </row>
    <row r="50" spans="1:13" ht="19.5" customHeight="1" thickBot="1" x14ac:dyDescent="0.25">
      <c r="A50" s="256" t="s">
        <v>549</v>
      </c>
      <c r="B50" s="492">
        <v>12</v>
      </c>
      <c r="C50" s="492">
        <v>4</v>
      </c>
      <c r="D50" s="493">
        <v>16</v>
      </c>
      <c r="E50" s="492">
        <v>12</v>
      </c>
      <c r="F50" s="492">
        <v>8</v>
      </c>
      <c r="G50" s="493">
        <v>20</v>
      </c>
      <c r="H50" s="492">
        <v>10</v>
      </c>
      <c r="I50" s="492">
        <v>9</v>
      </c>
      <c r="J50" s="493">
        <v>19</v>
      </c>
      <c r="K50" s="492">
        <v>8</v>
      </c>
      <c r="L50" s="492">
        <v>13</v>
      </c>
      <c r="M50" s="493">
        <v>21</v>
      </c>
    </row>
    <row r="51" spans="1:13" ht="19.5" customHeight="1" thickBot="1" x14ac:dyDescent="0.25">
      <c r="A51" s="494" t="s">
        <v>551</v>
      </c>
      <c r="B51" s="495">
        <v>34</v>
      </c>
      <c r="C51" s="495">
        <v>32</v>
      </c>
      <c r="D51" s="496">
        <v>66</v>
      </c>
      <c r="E51" s="495">
        <v>29</v>
      </c>
      <c r="F51" s="495">
        <v>38</v>
      </c>
      <c r="G51" s="496">
        <v>67</v>
      </c>
      <c r="H51" s="495">
        <v>33</v>
      </c>
      <c r="I51" s="495">
        <v>36</v>
      </c>
      <c r="J51" s="496">
        <v>69</v>
      </c>
      <c r="K51" s="495">
        <v>26</v>
      </c>
      <c r="L51" s="495">
        <v>44</v>
      </c>
      <c r="M51" s="496">
        <v>70</v>
      </c>
    </row>
    <row r="52" spans="1:13" ht="19.5" customHeight="1" thickBot="1" x14ac:dyDescent="0.25">
      <c r="A52" s="497" t="s">
        <v>621</v>
      </c>
      <c r="B52" s="924">
        <v>962</v>
      </c>
      <c r="C52" s="926">
        <v>1454</v>
      </c>
      <c r="D52" s="928">
        <v>2416</v>
      </c>
      <c r="E52" s="924">
        <v>978</v>
      </c>
      <c r="F52" s="926">
        <v>1434</v>
      </c>
      <c r="G52" s="928">
        <v>2412</v>
      </c>
      <c r="H52" s="924">
        <v>970</v>
      </c>
      <c r="I52" s="926">
        <v>1453</v>
      </c>
      <c r="J52" s="928">
        <v>2423</v>
      </c>
      <c r="K52" s="924">
        <v>955</v>
      </c>
      <c r="L52" s="926">
        <v>1461</v>
      </c>
      <c r="M52" s="504">
        <v>2416</v>
      </c>
    </row>
    <row r="53" spans="1:13" ht="19.5" customHeight="1" thickBot="1" x14ac:dyDescent="0.25">
      <c r="A53" s="498" t="s">
        <v>622</v>
      </c>
      <c r="B53" s="925"/>
      <c r="C53" s="927"/>
      <c r="D53" s="929"/>
      <c r="E53" s="925"/>
      <c r="F53" s="927"/>
      <c r="G53" s="929"/>
      <c r="H53" s="925"/>
      <c r="I53" s="927"/>
      <c r="J53" s="929"/>
      <c r="K53" s="925"/>
      <c r="L53" s="927"/>
      <c r="M53" s="501">
        <v>2486</v>
      </c>
    </row>
    <row r="54" spans="1:13" ht="19.5" customHeight="1" thickBot="1" x14ac:dyDescent="0.25">
      <c r="A54" s="499" t="s">
        <v>552</v>
      </c>
      <c r="B54" s="495">
        <v>996</v>
      </c>
      <c r="C54" s="500">
        <v>1486</v>
      </c>
      <c r="D54" s="501">
        <v>2482</v>
      </c>
      <c r="E54" s="500">
        <v>1007</v>
      </c>
      <c r="F54" s="500">
        <v>1472</v>
      </c>
      <c r="G54" s="501">
        <v>2479</v>
      </c>
      <c r="H54" s="500">
        <v>1003</v>
      </c>
      <c r="I54" s="500">
        <v>1489</v>
      </c>
      <c r="J54" s="501">
        <v>2492</v>
      </c>
      <c r="K54" s="495">
        <v>981</v>
      </c>
      <c r="L54" s="500">
        <v>1505</v>
      </c>
      <c r="M54" s="496" t="s">
        <v>48</v>
      </c>
    </row>
    <row r="55" spans="1:13" ht="19.5" customHeight="1" thickBot="1" x14ac:dyDescent="0.25">
      <c r="A55" s="499"/>
      <c r="B55" s="495"/>
      <c r="C55" s="500"/>
      <c r="D55" s="501">
        <v>2.66</v>
      </c>
      <c r="E55" s="500"/>
      <c r="F55" s="500"/>
      <c r="G55" s="501">
        <v>2.7</v>
      </c>
      <c r="H55" s="500"/>
      <c r="I55" s="500"/>
      <c r="J55" s="501">
        <v>2.77</v>
      </c>
      <c r="K55" s="495"/>
      <c r="L55" s="500"/>
      <c r="M55" s="496">
        <v>2.82</v>
      </c>
    </row>
    <row r="56" spans="1:13" ht="19.5" customHeight="1" thickBot="1" x14ac:dyDescent="0.25">
      <c r="A56" s="499" t="s">
        <v>207</v>
      </c>
      <c r="B56" s="495" t="s">
        <v>48</v>
      </c>
      <c r="C56" s="495" t="s">
        <v>48</v>
      </c>
      <c r="D56" s="496" t="s">
        <v>48</v>
      </c>
      <c r="E56" s="495" t="s">
        <v>48</v>
      </c>
      <c r="F56" s="495" t="s">
        <v>48</v>
      </c>
      <c r="G56" s="496" t="s">
        <v>48</v>
      </c>
      <c r="H56" s="495" t="s">
        <v>48</v>
      </c>
      <c r="I56" s="495" t="s">
        <v>48</v>
      </c>
      <c r="J56" s="496" t="s">
        <v>48</v>
      </c>
      <c r="K56" s="495" t="s">
        <v>48</v>
      </c>
      <c r="L56" s="495" t="s">
        <v>48</v>
      </c>
      <c r="M56" s="495" t="s">
        <v>48</v>
      </c>
    </row>
    <row r="57" spans="1:13" ht="19.5" customHeight="1" thickBot="1" x14ac:dyDescent="0.25">
      <c r="M57" s="505">
        <v>1</v>
      </c>
    </row>
    <row r="58" spans="1:13" ht="15.75" customHeight="1" x14ac:dyDescent="0.2">
      <c r="B58" s="15"/>
      <c r="C58" s="509" t="s">
        <v>203</v>
      </c>
      <c r="D58" s="509" t="s">
        <v>204</v>
      </c>
      <c r="E58" s="509" t="s">
        <v>205</v>
      </c>
      <c r="F58" s="509" t="s">
        <v>256</v>
      </c>
    </row>
    <row r="59" spans="1:13" ht="15.75" customHeight="1" x14ac:dyDescent="0.2">
      <c r="B59" s="31" t="s">
        <v>239</v>
      </c>
      <c r="C59" s="64">
        <v>2.66</v>
      </c>
      <c r="D59" s="64">
        <v>2.7</v>
      </c>
      <c r="E59" s="64">
        <v>2.77</v>
      </c>
      <c r="F59" s="64">
        <v>2.82</v>
      </c>
    </row>
    <row r="60" spans="1:13" ht="15.75" customHeight="1" x14ac:dyDescent="0.2">
      <c r="B60" s="31" t="s">
        <v>369</v>
      </c>
      <c r="C60" s="64">
        <v>10</v>
      </c>
      <c r="D60" s="64">
        <v>10</v>
      </c>
      <c r="E60" s="64">
        <v>10</v>
      </c>
      <c r="F60" s="64">
        <v>10</v>
      </c>
    </row>
    <row r="61" spans="1:13" ht="15.75" customHeight="1" x14ac:dyDescent="0.2">
      <c r="B61" s="202" t="s">
        <v>633</v>
      </c>
      <c r="C61" s="542">
        <v>1</v>
      </c>
      <c r="D61" s="542">
        <v>1</v>
      </c>
      <c r="E61" s="542">
        <v>1</v>
      </c>
      <c r="F61" s="542">
        <v>1</v>
      </c>
    </row>
    <row r="72" spans="1:1" ht="15.75" customHeight="1" x14ac:dyDescent="0.2">
      <c r="A72" s="502"/>
    </row>
  </sheetData>
  <sheetProtection formatCells="0" formatColumns="0" formatRows="0" insertColumns="0" insertRows="0" insertHyperlinks="0" deleteColumns="0" deleteRows="0" pivotTables="0"/>
  <mergeCells count="42">
    <mergeCell ref="K15:L15"/>
    <mergeCell ref="B52:B53"/>
    <mergeCell ref="C52:C53"/>
    <mergeCell ref="D52:D53"/>
    <mergeCell ref="E52:E53"/>
    <mergeCell ref="F52:F53"/>
    <mergeCell ref="G52:G53"/>
    <mergeCell ref="H52:H53"/>
    <mergeCell ref="I52:I53"/>
    <mergeCell ref="J52:J53"/>
    <mergeCell ref="K52:K53"/>
    <mergeCell ref="L52:L53"/>
    <mergeCell ref="B15:D15"/>
    <mergeCell ref="E15:G15"/>
    <mergeCell ref="H15:J15"/>
    <mergeCell ref="A11:I11"/>
    <mergeCell ref="A5:B5"/>
    <mergeCell ref="C5:D5"/>
    <mergeCell ref="E5:F5"/>
    <mergeCell ref="G5:I5"/>
    <mergeCell ref="C9:D9"/>
    <mergeCell ref="E9:F9"/>
    <mergeCell ref="C6:D6"/>
    <mergeCell ref="A6:B6"/>
    <mergeCell ref="C7:D7"/>
    <mergeCell ref="E7:F7"/>
    <mergeCell ref="E6:F6"/>
    <mergeCell ref="A8:B8"/>
    <mergeCell ref="A7:B7"/>
    <mergeCell ref="C8:D8"/>
    <mergeCell ref="E8:F8"/>
    <mergeCell ref="A2:C2"/>
    <mergeCell ref="D2:I2"/>
    <mergeCell ref="A4:B4"/>
    <mergeCell ref="C4:D4"/>
    <mergeCell ref="E4:F4"/>
    <mergeCell ref="G4:I4"/>
    <mergeCell ref="G9:I9"/>
    <mergeCell ref="G6:I6"/>
    <mergeCell ref="G7:I7"/>
    <mergeCell ref="G8:I8"/>
    <mergeCell ref="A9:B9"/>
  </mergeCells>
  <pageMargins left="0.7" right="0.7" top="0.75" bottom="0.75" header="0" footer="0"/>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87AB4-8998-4F00-B1D3-3434CB92AAE1}">
  <sheetPr>
    <tabColor theme="9" tint="-0.499984740745262"/>
  </sheetPr>
  <dimension ref="B2:N30"/>
  <sheetViews>
    <sheetView topLeftCell="A5" zoomScale="110" zoomScaleNormal="110" workbookViewId="0">
      <selection activeCell="D9" sqref="D9:F9"/>
    </sheetView>
  </sheetViews>
  <sheetFormatPr defaultColWidth="11.42578125" defaultRowHeight="12.75" x14ac:dyDescent="0.2"/>
  <cols>
    <col min="2" max="2" width="16.28515625" customWidth="1"/>
    <col min="3" max="3" width="22.5703125" customWidth="1"/>
    <col min="4" max="5" width="11.42578125" customWidth="1"/>
    <col min="10" max="10" width="19.42578125" customWidth="1"/>
  </cols>
  <sheetData>
    <row r="2" spans="2:14" ht="70.5" customHeight="1" x14ac:dyDescent="0.2">
      <c r="B2" s="714"/>
      <c r="C2" s="715"/>
      <c r="D2" s="716"/>
      <c r="E2" s="717" t="s">
        <v>192</v>
      </c>
      <c r="F2" s="715"/>
      <c r="G2" s="715"/>
      <c r="H2" s="715"/>
      <c r="I2" s="715"/>
      <c r="J2" s="716"/>
    </row>
    <row r="5" spans="2:14" ht="33" customHeight="1" x14ac:dyDescent="0.2">
      <c r="B5" s="788" t="s">
        <v>193</v>
      </c>
      <c r="C5" s="788"/>
      <c r="D5" s="800" t="str">
        <f>Índex!B42</f>
        <v xml:space="preserve">PC3.03_Ind04 </v>
      </c>
      <c r="E5" s="800"/>
      <c r="F5" s="800"/>
      <c r="G5" s="788" t="s">
        <v>194</v>
      </c>
      <c r="H5" s="788"/>
      <c r="I5" s="788"/>
      <c r="J5" s="800" t="str">
        <f>Índex!C42</f>
        <v>Percentatge d’alumnat rebut per mitjà de programes de mobilitat (Incoming_ Graus)</v>
      </c>
      <c r="K5" s="800"/>
      <c r="L5" s="800"/>
      <c r="M5" s="800"/>
      <c r="N5" s="800"/>
    </row>
    <row r="6" spans="2:14" ht="29.25" customHeight="1" x14ac:dyDescent="0.2">
      <c r="B6" s="788" t="s">
        <v>195</v>
      </c>
      <c r="C6" s="788"/>
      <c r="D6" s="937" t="str">
        <f>Índex!F42</f>
        <v>&lt;3%</v>
      </c>
      <c r="E6" s="937"/>
      <c r="F6" s="937"/>
      <c r="G6" s="788" t="s">
        <v>196</v>
      </c>
      <c r="H6" s="788"/>
      <c r="I6" s="788"/>
      <c r="J6" s="800" t="s">
        <v>197</v>
      </c>
      <c r="K6" s="800"/>
      <c r="L6" s="800"/>
      <c r="M6" s="800"/>
      <c r="N6" s="800"/>
    </row>
    <row r="7" spans="2:14" ht="45.75" customHeight="1" x14ac:dyDescent="0.2">
      <c r="B7" s="788" t="s">
        <v>471</v>
      </c>
      <c r="C7" s="788"/>
      <c r="D7" s="800" t="str">
        <f>Índex!H42</f>
        <v>Objectiu de Qualitat. Qualitat dels programes formatius</v>
      </c>
      <c r="E7" s="800"/>
      <c r="F7" s="800"/>
      <c r="G7" s="788" t="s">
        <v>462</v>
      </c>
      <c r="H7" s="788"/>
      <c r="I7" s="788"/>
      <c r="J7" s="800"/>
      <c r="K7" s="800"/>
      <c r="L7" s="800"/>
      <c r="M7" s="800"/>
      <c r="N7" s="800"/>
    </row>
    <row r="8" spans="2:14" ht="22.5" customHeight="1" x14ac:dyDescent="0.2">
      <c r="B8" s="788" t="s">
        <v>463</v>
      </c>
      <c r="C8" s="788"/>
      <c r="D8" s="800"/>
      <c r="E8" s="800"/>
      <c r="F8" s="800"/>
      <c r="G8" s="788" t="s">
        <v>464</v>
      </c>
      <c r="H8" s="788"/>
      <c r="I8" s="788"/>
      <c r="J8" s="800" t="s">
        <v>198</v>
      </c>
      <c r="K8" s="800"/>
      <c r="L8" s="800"/>
      <c r="M8" s="800"/>
      <c r="N8" s="800"/>
    </row>
    <row r="9" spans="2:14" ht="22.5" customHeight="1" x14ac:dyDescent="0.2">
      <c r="B9" s="788" t="s">
        <v>465</v>
      </c>
      <c r="C9" s="788"/>
      <c r="D9" s="800" t="str">
        <f>Índex!D42</f>
        <v xml:space="preserve">Vicedegana d’Intercanvis </v>
      </c>
      <c r="E9" s="800"/>
      <c r="F9" s="800"/>
      <c r="G9" s="788" t="s">
        <v>472</v>
      </c>
      <c r="H9" s="788"/>
      <c r="I9" s="788"/>
      <c r="J9" s="800" t="str">
        <f>Índex!E42</f>
        <v>Gestora de Qualitat</v>
      </c>
      <c r="K9" s="800"/>
      <c r="L9" s="800"/>
      <c r="M9" s="800"/>
      <c r="N9" s="800"/>
    </row>
    <row r="10" spans="2:14" ht="21.75" customHeight="1" x14ac:dyDescent="0.2">
      <c r="B10" s="788" t="s">
        <v>461</v>
      </c>
      <c r="C10" s="788"/>
      <c r="D10" s="800" t="str">
        <f>Índex!G42</f>
        <v>PC3.03. Mobilitat de l’Alumnat</v>
      </c>
      <c r="E10" s="800"/>
      <c r="F10" s="800"/>
      <c r="G10" s="788" t="s">
        <v>467</v>
      </c>
      <c r="H10" s="788"/>
      <c r="I10" s="788"/>
      <c r="J10" s="800" t="s">
        <v>514</v>
      </c>
      <c r="K10" s="800"/>
      <c r="L10" s="800"/>
      <c r="M10" s="800"/>
      <c r="N10" s="800"/>
    </row>
    <row r="12" spans="2:14" x14ac:dyDescent="0.2">
      <c r="B12" s="801" t="s">
        <v>468</v>
      </c>
      <c r="C12" s="802"/>
      <c r="D12" s="802"/>
      <c r="E12" s="802"/>
      <c r="F12" s="802"/>
      <c r="G12" s="802"/>
      <c r="H12" s="802"/>
      <c r="I12" s="802"/>
      <c r="J12" s="802"/>
      <c r="K12" s="802"/>
      <c r="L12" s="802"/>
      <c r="M12" s="802"/>
      <c r="N12" s="803"/>
    </row>
    <row r="13" spans="2:14" ht="13.5" thickBot="1" x14ac:dyDescent="0.25"/>
    <row r="14" spans="2:14" ht="13.5" thickBot="1" x14ac:dyDescent="0.25">
      <c r="C14" s="933" t="s">
        <v>203</v>
      </c>
      <c r="D14" s="934"/>
      <c r="E14" s="935"/>
      <c r="F14" s="933" t="s">
        <v>204</v>
      </c>
      <c r="G14" s="934"/>
      <c r="H14" s="935"/>
      <c r="I14" s="933" t="s">
        <v>205</v>
      </c>
      <c r="J14" s="934"/>
      <c r="K14" s="935"/>
      <c r="L14" s="936" t="s">
        <v>256</v>
      </c>
      <c r="M14" s="936"/>
      <c r="N14" s="936"/>
    </row>
    <row r="15" spans="2:14" ht="26.25" thickBot="1" x14ac:dyDescent="0.25">
      <c r="B15" s="428" t="s">
        <v>553</v>
      </c>
      <c r="C15" s="427" t="s">
        <v>331</v>
      </c>
      <c r="D15" s="427" t="s">
        <v>332</v>
      </c>
      <c r="E15" s="427" t="s">
        <v>239</v>
      </c>
      <c r="F15" s="427" t="s">
        <v>331</v>
      </c>
      <c r="G15" s="427" t="s">
        <v>332</v>
      </c>
      <c r="H15" s="427" t="s">
        <v>239</v>
      </c>
      <c r="I15" s="427" t="s">
        <v>331</v>
      </c>
      <c r="J15" s="427" t="s">
        <v>332</v>
      </c>
      <c r="K15" s="427" t="s">
        <v>239</v>
      </c>
      <c r="L15" s="427" t="s">
        <v>331</v>
      </c>
      <c r="M15" s="427" t="s">
        <v>332</v>
      </c>
      <c r="N15" s="427" t="s">
        <v>239</v>
      </c>
    </row>
    <row r="16" spans="2:14" ht="25.5" customHeight="1" thickBot="1" x14ac:dyDescent="0.25">
      <c r="B16" s="354" t="s">
        <v>365</v>
      </c>
      <c r="C16" s="259">
        <v>6</v>
      </c>
      <c r="D16" s="259">
        <v>8</v>
      </c>
      <c r="E16" s="260">
        <v>14</v>
      </c>
      <c r="F16" s="259">
        <v>19</v>
      </c>
      <c r="G16" s="259">
        <v>16</v>
      </c>
      <c r="H16" s="260">
        <v>35</v>
      </c>
      <c r="I16" s="259">
        <v>24</v>
      </c>
      <c r="J16" s="259">
        <v>11</v>
      </c>
      <c r="K16" s="260">
        <v>35</v>
      </c>
      <c r="L16" s="259">
        <v>16</v>
      </c>
      <c r="M16" s="259">
        <v>33</v>
      </c>
      <c r="N16" s="260">
        <v>49</v>
      </c>
    </row>
    <row r="17" spans="2:14" ht="14.25" customHeight="1" thickBot="1" x14ac:dyDescent="0.25">
      <c r="B17" s="258" t="s">
        <v>346</v>
      </c>
      <c r="C17" s="259">
        <v>2</v>
      </c>
      <c r="D17" s="259">
        <v>6</v>
      </c>
      <c r="E17" s="260">
        <v>8</v>
      </c>
      <c r="F17" s="259">
        <v>6</v>
      </c>
      <c r="G17" s="259">
        <v>5</v>
      </c>
      <c r="H17" s="260">
        <v>11</v>
      </c>
      <c r="I17" s="259">
        <v>5</v>
      </c>
      <c r="J17" s="259">
        <v>2</v>
      </c>
      <c r="K17" s="260">
        <v>7</v>
      </c>
      <c r="L17" s="259">
        <v>3</v>
      </c>
      <c r="M17" s="259">
        <v>5</v>
      </c>
      <c r="N17" s="260">
        <v>8</v>
      </c>
    </row>
    <row r="18" spans="2:14" ht="30" customHeight="1" thickBot="1" x14ac:dyDescent="0.25">
      <c r="B18" s="258" t="s">
        <v>366</v>
      </c>
      <c r="C18" s="259">
        <v>0</v>
      </c>
      <c r="D18" s="259">
        <v>0</v>
      </c>
      <c r="E18" s="260">
        <v>0</v>
      </c>
      <c r="F18" s="259">
        <v>1</v>
      </c>
      <c r="G18" s="259">
        <v>0</v>
      </c>
      <c r="H18" s="260">
        <v>1</v>
      </c>
      <c r="I18" s="259">
        <v>0</v>
      </c>
      <c r="J18" s="259">
        <v>1</v>
      </c>
      <c r="K18" s="260">
        <v>1</v>
      </c>
      <c r="L18" s="259">
        <v>0</v>
      </c>
      <c r="M18" s="259">
        <v>0</v>
      </c>
      <c r="N18" s="260">
        <v>0</v>
      </c>
    </row>
    <row r="19" spans="2:14" ht="32.25" customHeight="1" thickBot="1" x14ac:dyDescent="0.25">
      <c r="B19" s="258" t="s">
        <v>367</v>
      </c>
      <c r="C19" s="259">
        <v>1</v>
      </c>
      <c r="D19" s="259">
        <v>1</v>
      </c>
      <c r="E19" s="260">
        <v>2</v>
      </c>
      <c r="F19" s="259">
        <v>1</v>
      </c>
      <c r="G19" s="259">
        <v>4</v>
      </c>
      <c r="H19" s="260">
        <v>5</v>
      </c>
      <c r="I19" s="259">
        <v>5</v>
      </c>
      <c r="J19" s="259">
        <v>4</v>
      </c>
      <c r="K19" s="260">
        <v>9</v>
      </c>
      <c r="L19" s="259">
        <v>2</v>
      </c>
      <c r="M19" s="259">
        <v>1</v>
      </c>
      <c r="N19" s="260">
        <v>3</v>
      </c>
    </row>
    <row r="20" spans="2:14" ht="21" customHeight="1" thickBot="1" x14ac:dyDescent="0.25">
      <c r="B20" s="258" t="s">
        <v>368</v>
      </c>
      <c r="C20" s="259">
        <v>0</v>
      </c>
      <c r="D20" s="259">
        <v>0</v>
      </c>
      <c r="E20" s="260">
        <v>0</v>
      </c>
      <c r="F20" s="259">
        <v>0</v>
      </c>
      <c r="G20" s="259">
        <v>0</v>
      </c>
      <c r="H20" s="260">
        <v>0</v>
      </c>
      <c r="I20" s="259">
        <v>0</v>
      </c>
      <c r="J20" s="259">
        <v>0</v>
      </c>
      <c r="K20" s="260">
        <v>0</v>
      </c>
      <c r="L20" s="259">
        <v>0</v>
      </c>
      <c r="M20" s="259">
        <v>0</v>
      </c>
      <c r="N20" s="260">
        <v>0</v>
      </c>
    </row>
    <row r="21" spans="2:14" ht="13.5" thickBot="1" x14ac:dyDescent="0.25">
      <c r="B21" s="424" t="s">
        <v>239</v>
      </c>
      <c r="C21" s="260">
        <f t="shared" ref="C21:N21" si="0">SUM(C16:C20)</f>
        <v>9</v>
      </c>
      <c r="D21" s="260">
        <f t="shared" si="0"/>
        <v>15</v>
      </c>
      <c r="E21" s="260">
        <f t="shared" si="0"/>
        <v>24</v>
      </c>
      <c r="F21" s="260">
        <f t="shared" si="0"/>
        <v>27</v>
      </c>
      <c r="G21" s="260">
        <f t="shared" si="0"/>
        <v>25</v>
      </c>
      <c r="H21" s="260">
        <f t="shared" si="0"/>
        <v>52</v>
      </c>
      <c r="I21" s="260">
        <f t="shared" si="0"/>
        <v>34</v>
      </c>
      <c r="J21" s="260">
        <f t="shared" si="0"/>
        <v>18</v>
      </c>
      <c r="K21" s="260">
        <f t="shared" si="0"/>
        <v>52</v>
      </c>
      <c r="L21" s="260">
        <f t="shared" si="0"/>
        <v>21</v>
      </c>
      <c r="M21" s="260">
        <f t="shared" si="0"/>
        <v>39</v>
      </c>
      <c r="N21" s="260">
        <f t="shared" si="0"/>
        <v>60</v>
      </c>
    </row>
    <row r="22" spans="2:14" ht="23.25" thickBot="1" x14ac:dyDescent="0.25">
      <c r="B22" s="425" t="s">
        <v>554</v>
      </c>
      <c r="C22" s="355">
        <v>962</v>
      </c>
      <c r="D22" s="355">
        <v>1454</v>
      </c>
      <c r="E22" s="355">
        <f>SUM(C22:D22)</f>
        <v>2416</v>
      </c>
      <c r="F22" s="355">
        <v>962</v>
      </c>
      <c r="G22" s="355">
        <v>1422</v>
      </c>
      <c r="H22" s="355">
        <f>SUM(F22:G22)</f>
        <v>2384</v>
      </c>
      <c r="I22" s="355">
        <v>949</v>
      </c>
      <c r="J22" s="355">
        <v>1442</v>
      </c>
      <c r="K22" s="355">
        <f>SUM(I22:J22)</f>
        <v>2391</v>
      </c>
      <c r="L22" s="355">
        <v>933</v>
      </c>
      <c r="M22" s="355">
        <v>1391</v>
      </c>
      <c r="N22" s="355">
        <f>SUM(L22:M22)</f>
        <v>2324</v>
      </c>
    </row>
    <row r="23" spans="2:14" ht="13.5" thickBot="1" x14ac:dyDescent="0.25">
      <c r="B23" s="425" t="s">
        <v>284</v>
      </c>
      <c r="C23" s="356">
        <f t="shared" ref="C23:N23" si="1">C21/C22</f>
        <v>9.355509355509356E-3</v>
      </c>
      <c r="D23" s="356">
        <f t="shared" si="1"/>
        <v>1.0316368638239339E-2</v>
      </c>
      <c r="E23" s="356">
        <f t="shared" si="1"/>
        <v>9.9337748344370865E-3</v>
      </c>
      <c r="F23" s="356">
        <f t="shared" si="1"/>
        <v>2.8066528066528068E-2</v>
      </c>
      <c r="G23" s="356">
        <f t="shared" si="1"/>
        <v>1.7580872011251757E-2</v>
      </c>
      <c r="H23" s="356">
        <f t="shared" si="1"/>
        <v>2.1812080536912751E-2</v>
      </c>
      <c r="I23" s="356">
        <f t="shared" si="1"/>
        <v>3.5827186512118019E-2</v>
      </c>
      <c r="J23" s="356">
        <f t="shared" si="1"/>
        <v>1.2482662968099861E-2</v>
      </c>
      <c r="K23" s="356">
        <f t="shared" si="1"/>
        <v>2.1748222501045588E-2</v>
      </c>
      <c r="L23" s="356">
        <f t="shared" si="1"/>
        <v>2.2508038585209004E-2</v>
      </c>
      <c r="M23" s="356">
        <f t="shared" si="1"/>
        <v>2.8037383177570093E-2</v>
      </c>
      <c r="N23" s="356">
        <f t="shared" si="1"/>
        <v>2.5817555938037865E-2</v>
      </c>
    </row>
    <row r="24" spans="2:14" ht="13.5" thickBot="1" x14ac:dyDescent="0.25">
      <c r="B24" s="425" t="s">
        <v>5</v>
      </c>
      <c r="C24" s="356">
        <v>0.03</v>
      </c>
      <c r="D24" s="356">
        <v>0.03</v>
      </c>
      <c r="E24" s="356">
        <v>0.03</v>
      </c>
      <c r="F24" s="356">
        <v>0.03</v>
      </c>
      <c r="G24" s="356">
        <v>0.03</v>
      </c>
      <c r="H24" s="356">
        <v>0.03</v>
      </c>
      <c r="I24" s="356">
        <v>0.03</v>
      </c>
      <c r="J24" s="356">
        <v>0.03</v>
      </c>
      <c r="K24" s="356">
        <v>0.03</v>
      </c>
      <c r="L24" s="356">
        <v>0.03</v>
      </c>
      <c r="M24" s="356">
        <v>0.03</v>
      </c>
      <c r="N24" s="356">
        <v>0.03</v>
      </c>
    </row>
    <row r="25" spans="2:14" ht="13.5" thickBot="1" x14ac:dyDescent="0.25">
      <c r="B25" s="426" t="s">
        <v>215</v>
      </c>
      <c r="C25" s="429" t="str" cm="1">
        <f t="array" ref="C25">_xlfn.IFS(C23&lt;C24,"100%",C23=C24,"100%",C23&gt;C24,C24/C23)</f>
        <v>100%</v>
      </c>
      <c r="D25" s="429" t="str" cm="1">
        <f t="array" ref="D25">_xlfn.IFS(D23&lt;D24,"100%",D23=D24,"100%",D23&gt;D24,D24/D23)</f>
        <v>100%</v>
      </c>
      <c r="E25" s="429" t="str" cm="1">
        <f t="array" ref="E25">_xlfn.IFS(E23&lt;E24,"100%",E23=E24,"100%",E23&gt;E24,E24/E23)</f>
        <v>100%</v>
      </c>
      <c r="F25" s="429" t="str" cm="1">
        <f t="array" ref="F25">_xlfn.IFS(F23&lt;F24,"100%",F23=F24,"100%",F23&gt;F24,F24/F23)</f>
        <v>100%</v>
      </c>
      <c r="G25" s="429" t="str" cm="1">
        <f t="array" ref="G25">_xlfn.IFS(G23&lt;G24,"100%",G23=G24,"100%",G23&gt;G24,G24/G23)</f>
        <v>100%</v>
      </c>
      <c r="H25" s="429" t="str" cm="1">
        <f t="array" ref="H25">_xlfn.IFS(H23&lt;H24,"100%",H23=H24,"100%",H23&gt;H24,H24/H23)</f>
        <v>100%</v>
      </c>
      <c r="I25" s="429" cm="1">
        <f t="array" ref="I25">_xlfn.IFS(I23&lt;I24,"100%",I23=I24,"100%",I23&gt;I24,I24/I23)</f>
        <v>0.83735294117647052</v>
      </c>
      <c r="J25" s="429" t="str" cm="1">
        <f t="array" ref="J25">_xlfn.IFS(J23&lt;J24,"100%",J23=J24,"100%",J23&gt;J24,J24/J23)</f>
        <v>100%</v>
      </c>
      <c r="K25" s="429" t="str" cm="1">
        <f t="array" ref="K25">_xlfn.IFS(K23&lt;K24,"100%",K23=K24,"100%",K23&gt;K24,K24/K23)</f>
        <v>100%</v>
      </c>
      <c r="L25" s="429" t="str" cm="1">
        <f t="array" ref="L25">_xlfn.IFS(L23&lt;L24,"100%",L23=L24,"100%",L23&gt;L24,L24/L23)</f>
        <v>100%</v>
      </c>
      <c r="M25" s="429" t="str" cm="1">
        <f t="array" ref="M25">_xlfn.IFS(M23&lt;M24,"100%",M23=M24,"100%",M23&gt;M24,M24/M23)</f>
        <v>100%</v>
      </c>
      <c r="N25" s="429" t="str" cm="1">
        <f t="array" ref="N25">_xlfn.IFS(N23&lt;N24,"100%",N23=N24,"100%",N23&gt;N24,N24/N23)</f>
        <v>100%</v>
      </c>
    </row>
    <row r="27" spans="2:14" x14ac:dyDescent="0.2">
      <c r="C27" s="15"/>
      <c r="D27" s="508" t="s">
        <v>203</v>
      </c>
      <c r="E27" s="508" t="s">
        <v>204</v>
      </c>
      <c r="F27" s="508" t="s">
        <v>205</v>
      </c>
      <c r="G27" s="508" t="s">
        <v>256</v>
      </c>
    </row>
    <row r="28" spans="2:14" x14ac:dyDescent="0.2">
      <c r="C28" s="15"/>
      <c r="D28" s="15"/>
      <c r="E28" s="15"/>
      <c r="F28" s="15"/>
      <c r="G28" s="15"/>
    </row>
    <row r="29" spans="2:14" x14ac:dyDescent="0.2">
      <c r="C29" s="31" t="s">
        <v>239</v>
      </c>
      <c r="D29" s="15">
        <v>0.99</v>
      </c>
      <c r="E29" s="15">
        <v>2.1800000000000002</v>
      </c>
      <c r="F29" s="15">
        <v>2.17</v>
      </c>
      <c r="G29" s="15">
        <v>2.58</v>
      </c>
    </row>
    <row r="30" spans="2:14" x14ac:dyDescent="0.2">
      <c r="C30" s="31" t="s">
        <v>5</v>
      </c>
      <c r="D30" s="15">
        <v>3</v>
      </c>
      <c r="E30" s="15">
        <v>3</v>
      </c>
      <c r="F30" s="15">
        <v>3</v>
      </c>
      <c r="G30" s="15">
        <v>3</v>
      </c>
    </row>
  </sheetData>
  <mergeCells count="31">
    <mergeCell ref="B2:D2"/>
    <mergeCell ref="E2:J2"/>
    <mergeCell ref="D7:F7"/>
    <mergeCell ref="B6:C6"/>
    <mergeCell ref="B7:C7"/>
    <mergeCell ref="G7:I7"/>
    <mergeCell ref="J7:N7"/>
    <mergeCell ref="B5:C5"/>
    <mergeCell ref="D5:F5"/>
    <mergeCell ref="G5:I5"/>
    <mergeCell ref="J5:N5"/>
    <mergeCell ref="D6:F6"/>
    <mergeCell ref="G6:I6"/>
    <mergeCell ref="J6:N6"/>
    <mergeCell ref="D8:F8"/>
    <mergeCell ref="G8:I8"/>
    <mergeCell ref="J8:N8"/>
    <mergeCell ref="B9:C9"/>
    <mergeCell ref="D9:F9"/>
    <mergeCell ref="G9:I9"/>
    <mergeCell ref="J9:N9"/>
    <mergeCell ref="B8:C8"/>
    <mergeCell ref="C14:E14"/>
    <mergeCell ref="F14:H14"/>
    <mergeCell ref="I14:K14"/>
    <mergeCell ref="L14:N14"/>
    <mergeCell ref="B10:C10"/>
    <mergeCell ref="D10:F10"/>
    <mergeCell ref="G10:I10"/>
    <mergeCell ref="J10:N10"/>
    <mergeCell ref="B12:N12"/>
  </mergeCells>
  <phoneticPr fontId="9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8B40A-E186-466F-A4D6-0633E040D9E2}">
  <sheetPr>
    <tabColor theme="9" tint="-0.499984740745262"/>
  </sheetPr>
  <dimension ref="B2:O36"/>
  <sheetViews>
    <sheetView zoomScaleNormal="100" workbookViewId="0">
      <selection activeCell="B2" sqref="B2:E2"/>
    </sheetView>
  </sheetViews>
  <sheetFormatPr defaultColWidth="11.42578125" defaultRowHeight="12.75" x14ac:dyDescent="0.2"/>
  <cols>
    <col min="2" max="2" width="13.5703125" bestFit="1" customWidth="1"/>
    <col min="3" max="3" width="21.7109375" customWidth="1"/>
    <col min="4" max="6" width="9.5703125" bestFit="1" customWidth="1"/>
    <col min="7" max="7" width="6.28515625" bestFit="1" customWidth="1"/>
    <col min="11" max="11" width="17.85546875" customWidth="1"/>
  </cols>
  <sheetData>
    <row r="2" spans="2:15" ht="68.25" customHeight="1" x14ac:dyDescent="0.2">
      <c r="B2" s="940"/>
      <c r="C2" s="941"/>
      <c r="D2" s="941"/>
      <c r="E2" s="942"/>
      <c r="F2" s="717" t="s">
        <v>192</v>
      </c>
      <c r="G2" s="715"/>
      <c r="H2" s="715"/>
      <c r="I2" s="715"/>
      <c r="J2" s="715"/>
      <c r="K2" s="716"/>
    </row>
    <row r="4" spans="2:15" ht="36.75" customHeight="1" x14ac:dyDescent="0.2">
      <c r="B4" s="788" t="s">
        <v>193</v>
      </c>
      <c r="C4" s="788"/>
      <c r="D4" s="800" t="str">
        <f>Índex!B43</f>
        <v>PC3.03_Ind05</v>
      </c>
      <c r="E4" s="800"/>
      <c r="F4" s="800"/>
      <c r="G4" s="788" t="s">
        <v>194</v>
      </c>
      <c r="H4" s="788"/>
      <c r="I4" s="788"/>
      <c r="J4" s="800" t="str">
        <f>Índex!C43</f>
        <v>Percentatge d’alumnat sortint per mitjà de programes de mobilitat (outgoing_ Graus)</v>
      </c>
      <c r="K4" s="800"/>
      <c r="L4" s="800"/>
      <c r="M4" s="800"/>
      <c r="N4" s="800"/>
    </row>
    <row r="5" spans="2:15" ht="30.75" customHeight="1" x14ac:dyDescent="0.2">
      <c r="B5" s="788" t="s">
        <v>195</v>
      </c>
      <c r="C5" s="788"/>
      <c r="D5" s="937" t="str">
        <f>Índex!F43</f>
        <v>&lt;6%</v>
      </c>
      <c r="E5" s="937"/>
      <c r="F5" s="937"/>
      <c r="G5" s="788" t="s">
        <v>196</v>
      </c>
      <c r="H5" s="788"/>
      <c r="I5" s="788"/>
      <c r="J5" s="800" t="s">
        <v>197</v>
      </c>
      <c r="K5" s="800"/>
      <c r="L5" s="800"/>
      <c r="M5" s="800"/>
      <c r="N5" s="800"/>
    </row>
    <row r="6" spans="2:15" ht="35.25" customHeight="1" x14ac:dyDescent="0.2">
      <c r="B6" s="788" t="s">
        <v>471</v>
      </c>
      <c r="C6" s="788"/>
      <c r="D6" s="800" t="str">
        <f>Índex!H43</f>
        <v>Objectiu de Qualitat. Qualitat dels programes formatius</v>
      </c>
      <c r="E6" s="800"/>
      <c r="F6" s="800"/>
      <c r="G6" s="788" t="s">
        <v>462</v>
      </c>
      <c r="H6" s="788"/>
      <c r="I6" s="788"/>
      <c r="J6" s="800"/>
      <c r="K6" s="800"/>
      <c r="L6" s="800"/>
      <c r="M6" s="800"/>
      <c r="N6" s="800"/>
    </row>
    <row r="7" spans="2:15" ht="27" customHeight="1" x14ac:dyDescent="0.2">
      <c r="B7" s="788" t="s">
        <v>463</v>
      </c>
      <c r="C7" s="788"/>
      <c r="D7" s="800"/>
      <c r="E7" s="800"/>
      <c r="F7" s="800"/>
      <c r="G7" s="788" t="s">
        <v>464</v>
      </c>
      <c r="H7" s="788"/>
      <c r="I7" s="788"/>
      <c r="J7" s="800" t="s">
        <v>198</v>
      </c>
      <c r="K7" s="800"/>
      <c r="L7" s="800"/>
      <c r="M7" s="800"/>
      <c r="N7" s="800"/>
    </row>
    <row r="8" spans="2:15" ht="24.75" customHeight="1" x14ac:dyDescent="0.2">
      <c r="B8" s="788" t="s">
        <v>465</v>
      </c>
      <c r="C8" s="788"/>
      <c r="D8" s="800" t="str">
        <f>Índex!D43</f>
        <v xml:space="preserve">Vicedegana d’Intercanvis </v>
      </c>
      <c r="E8" s="800"/>
      <c r="F8" s="800"/>
      <c r="G8" s="788" t="s">
        <v>472</v>
      </c>
      <c r="H8" s="788"/>
      <c r="I8" s="788"/>
      <c r="J8" s="800" t="str">
        <f>Índex!E43</f>
        <v>Gestora de Qualitat</v>
      </c>
      <c r="K8" s="800"/>
      <c r="L8" s="800"/>
      <c r="M8" s="800"/>
      <c r="N8" s="800"/>
    </row>
    <row r="9" spans="2:15" ht="33" customHeight="1" x14ac:dyDescent="0.2">
      <c r="B9" s="788" t="s">
        <v>461</v>
      </c>
      <c r="C9" s="788"/>
      <c r="D9" s="800" t="str">
        <f>Índex!G43</f>
        <v>PC3.03. Mobilitat de l’Alumnat</v>
      </c>
      <c r="E9" s="800"/>
      <c r="F9" s="800"/>
      <c r="G9" s="788" t="s">
        <v>467</v>
      </c>
      <c r="H9" s="788"/>
      <c r="I9" s="788"/>
      <c r="J9" s="800" t="s">
        <v>514</v>
      </c>
      <c r="K9" s="800"/>
      <c r="L9" s="800"/>
      <c r="M9" s="800"/>
      <c r="N9" s="800"/>
    </row>
    <row r="11" spans="2:15" ht="26.25" customHeight="1" x14ac:dyDescent="0.2">
      <c r="B11" s="801" t="s">
        <v>468</v>
      </c>
      <c r="C11" s="802"/>
      <c r="D11" s="802"/>
      <c r="E11" s="802"/>
      <c r="F11" s="802"/>
      <c r="G11" s="802"/>
      <c r="H11" s="802"/>
      <c r="I11" s="802"/>
      <c r="J11" s="802"/>
      <c r="K11" s="802"/>
      <c r="L11" s="802"/>
      <c r="M11" s="802"/>
      <c r="N11" s="803"/>
    </row>
    <row r="13" spans="2:15" x14ac:dyDescent="0.2">
      <c r="B13" s="939" t="s">
        <v>567</v>
      </c>
      <c r="C13" s="939"/>
      <c r="D13" s="939" t="s">
        <v>203</v>
      </c>
      <c r="E13" s="939"/>
      <c r="F13" s="939"/>
      <c r="G13" s="939" t="s">
        <v>204</v>
      </c>
      <c r="H13" s="939"/>
      <c r="I13" s="939"/>
      <c r="J13" s="939" t="s">
        <v>205</v>
      </c>
      <c r="K13" s="939"/>
      <c r="L13" s="939"/>
      <c r="M13" s="939" t="s">
        <v>256</v>
      </c>
      <c r="N13" s="939"/>
      <c r="O13" s="939"/>
    </row>
    <row r="14" spans="2:15" x14ac:dyDescent="0.2">
      <c r="B14" s="939"/>
      <c r="C14" s="939"/>
      <c r="D14" s="430" t="s">
        <v>331</v>
      </c>
      <c r="E14" s="430" t="s">
        <v>370</v>
      </c>
      <c r="F14" s="430" t="s">
        <v>239</v>
      </c>
      <c r="G14" s="430" t="s">
        <v>331</v>
      </c>
      <c r="H14" s="430" t="s">
        <v>370</v>
      </c>
      <c r="I14" s="430" t="s">
        <v>239</v>
      </c>
      <c r="J14" s="430" t="s">
        <v>331</v>
      </c>
      <c r="K14" s="430" t="s">
        <v>370</v>
      </c>
      <c r="L14" s="430" t="s">
        <v>239</v>
      </c>
      <c r="M14" s="430" t="s">
        <v>331</v>
      </c>
      <c r="N14" s="430" t="s">
        <v>370</v>
      </c>
      <c r="O14" s="430" t="s">
        <v>239</v>
      </c>
    </row>
    <row r="15" spans="2:15" ht="13.5" x14ac:dyDescent="0.2">
      <c r="B15" s="938" t="s">
        <v>218</v>
      </c>
      <c r="C15" s="938"/>
      <c r="D15" s="15">
        <v>5</v>
      </c>
      <c r="E15" s="15">
        <v>2</v>
      </c>
      <c r="F15" s="15">
        <f>SUM(D15:E15)</f>
        <v>7</v>
      </c>
      <c r="G15" s="15">
        <v>19</v>
      </c>
      <c r="H15" s="15">
        <v>7</v>
      </c>
      <c r="I15" s="15">
        <f>SUM(G15:H15)</f>
        <v>26</v>
      </c>
      <c r="J15" s="15">
        <v>9</v>
      </c>
      <c r="K15" s="15">
        <v>3</v>
      </c>
      <c r="L15" s="15">
        <f>SUM(J15:K15)</f>
        <v>12</v>
      </c>
      <c r="M15" s="15">
        <v>18</v>
      </c>
      <c r="N15" s="15">
        <v>6</v>
      </c>
      <c r="O15" s="15">
        <f>SUM(M15:N15)</f>
        <v>24</v>
      </c>
    </row>
    <row r="16" spans="2:15" ht="13.5" x14ac:dyDescent="0.2">
      <c r="B16" s="938" t="s">
        <v>219</v>
      </c>
      <c r="C16" s="938"/>
      <c r="D16" s="15">
        <v>1</v>
      </c>
      <c r="E16" s="15">
        <v>1</v>
      </c>
      <c r="F16" s="15">
        <f t="shared" ref="F16:F24" si="0">SUM(D16:E16)</f>
        <v>2</v>
      </c>
      <c r="G16" s="15">
        <v>2</v>
      </c>
      <c r="H16" s="15">
        <v>2</v>
      </c>
      <c r="I16" s="15">
        <f t="shared" ref="I16:I25" si="1">SUM(G16:H16)</f>
        <v>4</v>
      </c>
      <c r="J16" s="15">
        <v>8</v>
      </c>
      <c r="K16" s="15">
        <v>4</v>
      </c>
      <c r="L16" s="15">
        <f t="shared" ref="L16:L25" si="2">SUM(J16:K16)</f>
        <v>12</v>
      </c>
      <c r="M16" s="15">
        <v>1</v>
      </c>
      <c r="N16" s="15">
        <v>5</v>
      </c>
      <c r="O16" s="15">
        <f t="shared" ref="O16:O25" si="3">SUM(M16:N16)</f>
        <v>6</v>
      </c>
    </row>
    <row r="17" spans="2:15" ht="13.5" x14ac:dyDescent="0.2">
      <c r="B17" s="938" t="s">
        <v>220</v>
      </c>
      <c r="C17" s="938"/>
      <c r="D17" s="15">
        <v>1</v>
      </c>
      <c r="E17" s="15">
        <v>1</v>
      </c>
      <c r="F17" s="15">
        <f t="shared" si="0"/>
        <v>2</v>
      </c>
      <c r="G17" s="15">
        <v>2</v>
      </c>
      <c r="H17" s="15">
        <v>1</v>
      </c>
      <c r="I17" s="15">
        <f t="shared" si="1"/>
        <v>3</v>
      </c>
      <c r="J17" s="15">
        <v>1</v>
      </c>
      <c r="K17" s="15">
        <v>2</v>
      </c>
      <c r="L17" s="15">
        <f t="shared" si="2"/>
        <v>3</v>
      </c>
      <c r="M17" s="15">
        <v>4</v>
      </c>
      <c r="N17" s="15">
        <v>2</v>
      </c>
      <c r="O17" s="15">
        <f t="shared" si="3"/>
        <v>6</v>
      </c>
    </row>
    <row r="18" spans="2:15" ht="13.5" x14ac:dyDescent="0.2">
      <c r="B18" s="938" t="s">
        <v>221</v>
      </c>
      <c r="C18" s="938"/>
      <c r="D18" s="15">
        <v>5</v>
      </c>
      <c r="E18" s="15">
        <v>3</v>
      </c>
      <c r="F18" s="15">
        <f t="shared" si="0"/>
        <v>8</v>
      </c>
      <c r="G18" s="15">
        <v>10</v>
      </c>
      <c r="H18" s="15">
        <v>15</v>
      </c>
      <c r="I18" s="15">
        <f t="shared" si="1"/>
        <v>25</v>
      </c>
      <c r="J18" s="15">
        <v>7</v>
      </c>
      <c r="K18" s="15">
        <v>9</v>
      </c>
      <c r="L18" s="15">
        <f t="shared" si="2"/>
        <v>16</v>
      </c>
      <c r="M18" s="15">
        <v>5</v>
      </c>
      <c r="N18" s="15">
        <v>9</v>
      </c>
      <c r="O18" s="15">
        <f t="shared" si="3"/>
        <v>14</v>
      </c>
    </row>
    <row r="19" spans="2:15" ht="13.5" x14ac:dyDescent="0.2">
      <c r="B19" s="938" t="s">
        <v>222</v>
      </c>
      <c r="C19" s="938"/>
      <c r="D19" s="15">
        <v>0</v>
      </c>
      <c r="E19" s="15">
        <v>0</v>
      </c>
      <c r="F19" s="15">
        <f t="shared" si="0"/>
        <v>0</v>
      </c>
      <c r="G19" s="15">
        <v>0</v>
      </c>
      <c r="H19" s="15">
        <v>0</v>
      </c>
      <c r="I19" s="15">
        <f t="shared" si="1"/>
        <v>0</v>
      </c>
      <c r="J19" s="15">
        <v>1</v>
      </c>
      <c r="K19" s="15">
        <v>3</v>
      </c>
      <c r="L19" s="15">
        <f t="shared" si="2"/>
        <v>4</v>
      </c>
      <c r="M19" s="15">
        <v>3</v>
      </c>
      <c r="N19" s="15">
        <v>0</v>
      </c>
      <c r="O19" s="15">
        <f t="shared" si="3"/>
        <v>3</v>
      </c>
    </row>
    <row r="20" spans="2:15" ht="13.5" x14ac:dyDescent="0.2">
      <c r="B20" s="938" t="s">
        <v>223</v>
      </c>
      <c r="C20" s="938"/>
      <c r="D20" s="15">
        <v>0</v>
      </c>
      <c r="E20" s="15">
        <v>0</v>
      </c>
      <c r="F20" s="15">
        <f t="shared" si="0"/>
        <v>0</v>
      </c>
      <c r="G20" s="15">
        <v>0</v>
      </c>
      <c r="H20" s="15">
        <v>0</v>
      </c>
      <c r="I20" s="15">
        <f t="shared" si="1"/>
        <v>0</v>
      </c>
      <c r="J20" s="15">
        <v>1</v>
      </c>
      <c r="K20" s="15">
        <v>1</v>
      </c>
      <c r="L20" s="15">
        <f t="shared" si="2"/>
        <v>2</v>
      </c>
      <c r="M20" s="15">
        <v>0</v>
      </c>
      <c r="N20" s="15">
        <v>3</v>
      </c>
      <c r="O20" s="15">
        <f t="shared" si="3"/>
        <v>3</v>
      </c>
    </row>
    <row r="21" spans="2:15" ht="13.5" x14ac:dyDescent="0.2">
      <c r="B21" s="938" t="s">
        <v>224</v>
      </c>
      <c r="C21" s="938"/>
      <c r="D21" s="15">
        <v>1</v>
      </c>
      <c r="E21" s="15">
        <v>1</v>
      </c>
      <c r="F21" s="15">
        <f t="shared" si="0"/>
        <v>2</v>
      </c>
      <c r="G21" s="15">
        <v>1</v>
      </c>
      <c r="H21" s="15">
        <v>2</v>
      </c>
      <c r="I21" s="15">
        <f t="shared" si="1"/>
        <v>3</v>
      </c>
      <c r="J21" s="15">
        <v>0</v>
      </c>
      <c r="K21" s="15">
        <v>2</v>
      </c>
      <c r="L21" s="15">
        <f t="shared" si="2"/>
        <v>2</v>
      </c>
      <c r="M21" s="15">
        <v>0</v>
      </c>
      <c r="N21" s="15">
        <v>2</v>
      </c>
      <c r="O21" s="15">
        <f t="shared" si="3"/>
        <v>2</v>
      </c>
    </row>
    <row r="22" spans="2:15" ht="32.25" customHeight="1" x14ac:dyDescent="0.2">
      <c r="B22" s="938" t="s">
        <v>225</v>
      </c>
      <c r="C22" s="938"/>
      <c r="D22" s="15">
        <v>0</v>
      </c>
      <c r="E22" s="15">
        <v>1</v>
      </c>
      <c r="F22" s="15">
        <f t="shared" si="0"/>
        <v>1</v>
      </c>
      <c r="G22" s="15">
        <v>0</v>
      </c>
      <c r="H22" s="15">
        <v>3</v>
      </c>
      <c r="I22" s="15">
        <f t="shared" si="1"/>
        <v>3</v>
      </c>
      <c r="J22" s="15">
        <v>9</v>
      </c>
      <c r="K22" s="15">
        <v>4</v>
      </c>
      <c r="L22" s="15">
        <f t="shared" si="2"/>
        <v>13</v>
      </c>
      <c r="M22" s="15">
        <v>5</v>
      </c>
      <c r="N22" s="15">
        <v>5</v>
      </c>
      <c r="O22" s="15">
        <f t="shared" si="3"/>
        <v>10</v>
      </c>
    </row>
    <row r="23" spans="2:15" ht="13.5" x14ac:dyDescent="0.2">
      <c r="B23" s="938" t="s">
        <v>226</v>
      </c>
      <c r="C23" s="938"/>
      <c r="D23" s="15">
        <v>1</v>
      </c>
      <c r="E23" s="15">
        <v>2</v>
      </c>
      <c r="F23" s="15">
        <f t="shared" si="0"/>
        <v>3</v>
      </c>
      <c r="G23" s="15">
        <v>7</v>
      </c>
      <c r="H23" s="15">
        <v>10</v>
      </c>
      <c r="I23" s="15">
        <f t="shared" si="1"/>
        <v>17</v>
      </c>
      <c r="J23" s="15">
        <v>12</v>
      </c>
      <c r="K23" s="15">
        <v>7</v>
      </c>
      <c r="L23" s="15">
        <f t="shared" si="2"/>
        <v>19</v>
      </c>
      <c r="M23" s="15">
        <v>6</v>
      </c>
      <c r="N23" s="15">
        <v>10</v>
      </c>
      <c r="O23" s="15">
        <f t="shared" si="3"/>
        <v>16</v>
      </c>
    </row>
    <row r="24" spans="2:15" ht="13.5" x14ac:dyDescent="0.2">
      <c r="B24" s="938" t="s">
        <v>227</v>
      </c>
      <c r="C24" s="938"/>
      <c r="D24" s="15">
        <v>4</v>
      </c>
      <c r="E24" s="15">
        <v>8</v>
      </c>
      <c r="F24" s="15">
        <f t="shared" si="0"/>
        <v>12</v>
      </c>
      <c r="G24" s="15">
        <v>2</v>
      </c>
      <c r="H24" s="15">
        <v>9</v>
      </c>
      <c r="I24" s="15">
        <f t="shared" si="1"/>
        <v>11</v>
      </c>
      <c r="J24" s="15">
        <v>9</v>
      </c>
      <c r="K24" s="15">
        <v>11</v>
      </c>
      <c r="L24" s="15">
        <f t="shared" si="2"/>
        <v>20</v>
      </c>
      <c r="M24" s="15">
        <v>9</v>
      </c>
      <c r="N24" s="15">
        <v>5</v>
      </c>
      <c r="O24" s="15">
        <f t="shared" si="3"/>
        <v>14</v>
      </c>
    </row>
    <row r="25" spans="2:15" ht="13.5" x14ac:dyDescent="0.2">
      <c r="B25" s="938" t="s">
        <v>228</v>
      </c>
      <c r="C25" s="938"/>
      <c r="D25" s="15">
        <v>3</v>
      </c>
      <c r="E25" s="15">
        <v>3</v>
      </c>
      <c r="F25" s="15">
        <f>SUM(D25:E25)</f>
        <v>6</v>
      </c>
      <c r="G25" s="15">
        <v>8</v>
      </c>
      <c r="H25" s="15">
        <v>6</v>
      </c>
      <c r="I25" s="15">
        <f t="shared" si="1"/>
        <v>14</v>
      </c>
      <c r="J25" s="15">
        <v>6</v>
      </c>
      <c r="K25" s="15">
        <v>5</v>
      </c>
      <c r="L25" s="15">
        <f t="shared" si="2"/>
        <v>11</v>
      </c>
      <c r="M25" s="15">
        <v>3</v>
      </c>
      <c r="N25" s="15">
        <v>5</v>
      </c>
      <c r="O25" s="15">
        <f t="shared" si="3"/>
        <v>8</v>
      </c>
    </row>
    <row r="26" spans="2:15" x14ac:dyDescent="0.2">
      <c r="B26" s="943" t="s">
        <v>239</v>
      </c>
      <c r="C26" s="943"/>
      <c r="D26" s="15">
        <f t="shared" ref="D26:L26" si="4">SUM(D15:D25)</f>
        <v>21</v>
      </c>
      <c r="E26" s="15">
        <f t="shared" si="4"/>
        <v>22</v>
      </c>
      <c r="F26" s="15">
        <f t="shared" si="4"/>
        <v>43</v>
      </c>
      <c r="G26" s="15">
        <f t="shared" si="4"/>
        <v>51</v>
      </c>
      <c r="H26" s="15">
        <f t="shared" si="4"/>
        <v>55</v>
      </c>
      <c r="I26" s="15">
        <f t="shared" si="4"/>
        <v>106</v>
      </c>
      <c r="J26" s="15">
        <f t="shared" si="4"/>
        <v>63</v>
      </c>
      <c r="K26" s="15">
        <f t="shared" si="4"/>
        <v>51</v>
      </c>
      <c r="L26" s="15">
        <f t="shared" si="4"/>
        <v>114</v>
      </c>
      <c r="M26" s="15">
        <f>SUM(M15:M25)</f>
        <v>54</v>
      </c>
      <c r="N26" s="15">
        <f>SUM(N15:N25)</f>
        <v>52</v>
      </c>
      <c r="O26" s="15">
        <f>SUM(O15:O25)</f>
        <v>106</v>
      </c>
    </row>
    <row r="27" spans="2:15" x14ac:dyDescent="0.2">
      <c r="B27" s="943" t="s">
        <v>566</v>
      </c>
      <c r="C27" s="943"/>
      <c r="D27" s="15">
        <v>962</v>
      </c>
      <c r="E27" s="15">
        <v>1454</v>
      </c>
      <c r="F27" s="15">
        <f>SUM(D27:E27)</f>
        <v>2416</v>
      </c>
      <c r="G27" s="15">
        <v>978</v>
      </c>
      <c r="H27" s="15">
        <v>1434</v>
      </c>
      <c r="I27" s="15">
        <f>SUM(G27:H27)</f>
        <v>2412</v>
      </c>
      <c r="J27" s="15">
        <v>949</v>
      </c>
      <c r="K27" s="15">
        <v>1442</v>
      </c>
      <c r="L27" s="15">
        <f>SUM(J27:K27)</f>
        <v>2391</v>
      </c>
      <c r="M27" s="15">
        <v>933</v>
      </c>
      <c r="N27" s="15">
        <v>1446</v>
      </c>
      <c r="O27" s="15">
        <f>SUM(M27:N27)</f>
        <v>2379</v>
      </c>
    </row>
    <row r="28" spans="2:15" x14ac:dyDescent="0.2">
      <c r="B28" s="944" t="s">
        <v>284</v>
      </c>
      <c r="C28" s="945"/>
      <c r="D28" s="349">
        <f t="shared" ref="D28:O28" si="5">D26/D27</f>
        <v>2.1829521829521831E-2</v>
      </c>
      <c r="E28" s="349">
        <f t="shared" si="5"/>
        <v>1.5130674002751032E-2</v>
      </c>
      <c r="F28" s="349">
        <f t="shared" si="5"/>
        <v>1.7798013245033113E-2</v>
      </c>
      <c r="G28" s="349">
        <f t="shared" si="5"/>
        <v>5.2147239263803678E-2</v>
      </c>
      <c r="H28" s="349">
        <f t="shared" si="5"/>
        <v>3.8354253835425386E-2</v>
      </c>
      <c r="I28" s="349">
        <f t="shared" si="5"/>
        <v>4.39469320066335E-2</v>
      </c>
      <c r="J28" s="349">
        <f t="shared" si="5"/>
        <v>6.6385669125395147E-2</v>
      </c>
      <c r="K28" s="349">
        <f t="shared" si="5"/>
        <v>3.5367545076282939E-2</v>
      </c>
      <c r="L28" s="349">
        <f t="shared" si="5"/>
        <v>4.7678795483061483E-2</v>
      </c>
      <c r="M28" s="349">
        <f t="shared" si="5"/>
        <v>5.7877813504823149E-2</v>
      </c>
      <c r="N28" s="349">
        <f t="shared" si="5"/>
        <v>3.5961272475795295E-2</v>
      </c>
      <c r="O28" s="349">
        <f t="shared" si="5"/>
        <v>4.4556536359815047E-2</v>
      </c>
    </row>
    <row r="29" spans="2:15" x14ac:dyDescent="0.2">
      <c r="B29" s="943" t="s">
        <v>5</v>
      </c>
      <c r="C29" s="943"/>
      <c r="D29" s="349">
        <v>0.06</v>
      </c>
      <c r="E29" s="349">
        <v>0.06</v>
      </c>
      <c r="F29" s="349">
        <v>0.06</v>
      </c>
      <c r="G29" s="349">
        <v>0.06</v>
      </c>
      <c r="H29" s="349">
        <v>0.06</v>
      </c>
      <c r="I29" s="349">
        <v>0.06</v>
      </c>
      <c r="J29" s="349">
        <v>0.06</v>
      </c>
      <c r="K29" s="349">
        <v>0.06</v>
      </c>
      <c r="L29" s="349">
        <v>0.06</v>
      </c>
      <c r="M29" s="349">
        <v>0.06</v>
      </c>
      <c r="N29" s="349">
        <v>0.06</v>
      </c>
      <c r="O29" s="349">
        <v>0.06</v>
      </c>
    </row>
    <row r="30" spans="2:15" x14ac:dyDescent="0.2">
      <c r="B30" s="943" t="s">
        <v>215</v>
      </c>
      <c r="C30" s="943"/>
      <c r="D30" s="349">
        <f>D26/D27</f>
        <v>2.1829521829521831E-2</v>
      </c>
      <c r="E30" s="349">
        <f>E26/E27</f>
        <v>1.5130674002751032E-2</v>
      </c>
      <c r="F30" s="349">
        <f>F26/F27</f>
        <v>1.7798013245033113E-2</v>
      </c>
      <c r="G30" s="349">
        <f t="shared" ref="G30:O30" si="6">G26/G27</f>
        <v>5.2147239263803678E-2</v>
      </c>
      <c r="H30" s="349">
        <f t="shared" si="6"/>
        <v>3.8354253835425386E-2</v>
      </c>
      <c r="I30" s="349">
        <f t="shared" si="6"/>
        <v>4.39469320066335E-2</v>
      </c>
      <c r="J30" s="349">
        <f t="shared" si="6"/>
        <v>6.6385669125395147E-2</v>
      </c>
      <c r="K30" s="349">
        <f t="shared" si="6"/>
        <v>3.5367545076282939E-2</v>
      </c>
      <c r="L30" s="349">
        <f t="shared" si="6"/>
        <v>4.7678795483061483E-2</v>
      </c>
      <c r="M30" s="349">
        <f t="shared" si="6"/>
        <v>5.7877813504823149E-2</v>
      </c>
      <c r="N30" s="349">
        <f t="shared" si="6"/>
        <v>3.5961272475795295E-2</v>
      </c>
      <c r="O30" s="349">
        <f t="shared" si="6"/>
        <v>4.4556536359815047E-2</v>
      </c>
    </row>
    <row r="33" spans="2:6" x14ac:dyDescent="0.2">
      <c r="B33" s="508" t="s">
        <v>325</v>
      </c>
      <c r="C33" s="508" t="s">
        <v>624</v>
      </c>
      <c r="D33" s="508" t="s">
        <v>204</v>
      </c>
      <c r="E33" s="508" t="s">
        <v>205</v>
      </c>
      <c r="F33" s="508" t="s">
        <v>256</v>
      </c>
    </row>
    <row r="34" spans="2:6" x14ac:dyDescent="0.2">
      <c r="B34" s="31" t="s">
        <v>239</v>
      </c>
      <c r="C34" s="15">
        <v>1.78</v>
      </c>
      <c r="D34" s="15">
        <v>4.3899999999999997</v>
      </c>
      <c r="E34" s="15">
        <v>4.7699999999999996</v>
      </c>
      <c r="F34" s="15">
        <v>4.46</v>
      </c>
    </row>
    <row r="35" spans="2:6" x14ac:dyDescent="0.2">
      <c r="B35" s="31" t="s">
        <v>5</v>
      </c>
      <c r="C35" s="15">
        <v>6</v>
      </c>
      <c r="D35" s="15">
        <v>6</v>
      </c>
      <c r="E35" s="15">
        <v>6</v>
      </c>
      <c r="F35" s="15">
        <v>6</v>
      </c>
    </row>
    <row r="36" spans="2:6" x14ac:dyDescent="0.2">
      <c r="B36" s="31" t="s">
        <v>215</v>
      </c>
      <c r="C36" s="154">
        <v>1</v>
      </c>
      <c r="D36" s="154">
        <v>1</v>
      </c>
      <c r="E36" s="154">
        <v>1</v>
      </c>
      <c r="F36" s="154">
        <v>1</v>
      </c>
    </row>
  </sheetData>
  <mergeCells count="48">
    <mergeCell ref="B26:C26"/>
    <mergeCell ref="B27:C27"/>
    <mergeCell ref="B29:C29"/>
    <mergeCell ref="B30:C30"/>
    <mergeCell ref="B13:C14"/>
    <mergeCell ref="B25:C25"/>
    <mergeCell ref="B23:C23"/>
    <mergeCell ref="B24:C24"/>
    <mergeCell ref="B28:C28"/>
    <mergeCell ref="B19:C19"/>
    <mergeCell ref="B20:C20"/>
    <mergeCell ref="B21:C21"/>
    <mergeCell ref="B22:C22"/>
    <mergeCell ref="B15:C15"/>
    <mergeCell ref="B16:C16"/>
    <mergeCell ref="B17:C17"/>
    <mergeCell ref="B11:N11"/>
    <mergeCell ref="B7:C7"/>
    <mergeCell ref="D7:F7"/>
    <mergeCell ref="G7:I7"/>
    <mergeCell ref="J7:N7"/>
    <mergeCell ref="B8:C8"/>
    <mergeCell ref="D8:F8"/>
    <mergeCell ref="G8:I8"/>
    <mergeCell ref="J8:N8"/>
    <mergeCell ref="B9:C9"/>
    <mergeCell ref="D9:F9"/>
    <mergeCell ref="G9:I9"/>
    <mergeCell ref="J9:N9"/>
    <mergeCell ref="D6:F6"/>
    <mergeCell ref="G6:I6"/>
    <mergeCell ref="J6:N6"/>
    <mergeCell ref="F2:K2"/>
    <mergeCell ref="B4:C4"/>
    <mergeCell ref="D4:F4"/>
    <mergeCell ref="B2:E2"/>
    <mergeCell ref="B5:C5"/>
    <mergeCell ref="D5:F5"/>
    <mergeCell ref="G5:I5"/>
    <mergeCell ref="J5:N5"/>
    <mergeCell ref="G4:I4"/>
    <mergeCell ref="J4:N4"/>
    <mergeCell ref="B6:C6"/>
    <mergeCell ref="B18:C18"/>
    <mergeCell ref="D13:F13"/>
    <mergeCell ref="G13:I13"/>
    <mergeCell ref="J13:L13"/>
    <mergeCell ref="M13:O13"/>
  </mergeCells>
  <phoneticPr fontId="2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9A63A-B3D2-406B-9AFC-11A1F40BB37C}">
  <sheetPr>
    <tabColor theme="9" tint="-0.499984740745262"/>
    <pageSetUpPr fitToPage="1"/>
  </sheetPr>
  <dimension ref="B2:N50"/>
  <sheetViews>
    <sheetView showGridLines="0" workbookViewId="0">
      <selection activeCell="L2" sqref="L2"/>
    </sheetView>
  </sheetViews>
  <sheetFormatPr defaultColWidth="12.5703125" defaultRowHeight="15.75" customHeight="1" x14ac:dyDescent="0.2"/>
  <cols>
    <col min="1" max="1" width="3.42578125" customWidth="1"/>
    <col min="2" max="2" width="14.140625" customWidth="1"/>
    <col min="3" max="3" width="17.42578125" customWidth="1"/>
    <col min="4" max="4" width="17.28515625" customWidth="1"/>
    <col min="5" max="9" width="12.5703125" customWidth="1"/>
    <col min="10" max="10" width="13.5703125" customWidth="1"/>
    <col min="11" max="11" width="24.140625" customWidth="1"/>
    <col min="12" max="13" width="7.5703125" customWidth="1"/>
    <col min="14" max="14" width="15.42578125" bestFit="1" customWidth="1"/>
    <col min="15"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Índex!B44</f>
        <v>PC3.04_Ind01.</v>
      </c>
      <c r="E4" s="716"/>
      <c r="F4" s="567" t="s">
        <v>194</v>
      </c>
      <c r="G4" s="569"/>
      <c r="H4" s="718" t="str">
        <f>Índex!C44</f>
        <v xml:space="preserve">Taxa de rendiment per curs acadèmic i titulació  </v>
      </c>
      <c r="I4" s="715"/>
      <c r="J4" s="716"/>
    </row>
    <row r="5" spans="2:10" ht="22.5" customHeight="1" x14ac:dyDescent="0.2">
      <c r="B5" s="567" t="s">
        <v>195</v>
      </c>
      <c r="C5" s="569"/>
      <c r="D5" s="718" t="str">
        <f>Índex!F44</f>
        <v>≥ 80%</v>
      </c>
      <c r="E5" s="716"/>
      <c r="F5" s="567" t="s">
        <v>196</v>
      </c>
      <c r="G5" s="569"/>
      <c r="H5" s="718" t="s">
        <v>197</v>
      </c>
      <c r="I5" s="715"/>
      <c r="J5" s="716"/>
    </row>
    <row r="6" spans="2:10" ht="36.75" customHeight="1" x14ac:dyDescent="0.2">
      <c r="B6" s="567" t="s">
        <v>471</v>
      </c>
      <c r="C6" s="569"/>
      <c r="D6" s="718" t="str">
        <f>Índex!H44</f>
        <v>Objectiu de Qualitat. Qualitat dels programes formatius</v>
      </c>
      <c r="E6" s="716"/>
      <c r="F6" s="567" t="s">
        <v>462</v>
      </c>
      <c r="G6" s="569"/>
      <c r="H6" s="718" t="s">
        <v>657</v>
      </c>
      <c r="I6" s="715"/>
      <c r="J6" s="716"/>
    </row>
    <row r="7" spans="2:10" ht="319.5" customHeight="1" x14ac:dyDescent="0.2">
      <c r="B7" s="567" t="s">
        <v>463</v>
      </c>
      <c r="C7" s="569"/>
      <c r="D7" s="718" t="s">
        <v>655</v>
      </c>
      <c r="E7" s="716"/>
      <c r="F7" s="567" t="s">
        <v>464</v>
      </c>
      <c r="G7" s="569"/>
      <c r="H7" s="718" t="s">
        <v>198</v>
      </c>
      <c r="I7" s="715"/>
      <c r="J7" s="716"/>
    </row>
    <row r="8" spans="2:10" ht="33" customHeight="1" x14ac:dyDescent="0.2">
      <c r="B8" s="567" t="s">
        <v>465</v>
      </c>
      <c r="C8" s="569"/>
      <c r="D8" s="718" t="str">
        <f>Índex!D44</f>
        <v xml:space="preserve"> Vicedegana d'Afers Acadèmics de Grau</v>
      </c>
      <c r="E8" s="716"/>
      <c r="F8" s="567" t="s">
        <v>472</v>
      </c>
      <c r="G8" s="569"/>
      <c r="H8" s="718" t="str">
        <f>Índex!E44</f>
        <v>Gestora de Qualitat</v>
      </c>
      <c r="I8" s="715"/>
      <c r="J8" s="716"/>
    </row>
    <row r="9" spans="2:10" ht="22.5" customHeight="1" x14ac:dyDescent="0.2">
      <c r="B9" s="567" t="s">
        <v>461</v>
      </c>
      <c r="C9" s="569"/>
      <c r="D9" s="718" t="str">
        <f>Índex!G44</f>
        <v>PC3.04. Avaluació de l’Alumnat</v>
      </c>
      <c r="E9" s="716"/>
      <c r="F9" s="567" t="s">
        <v>467</v>
      </c>
      <c r="G9" s="569"/>
      <c r="H9" s="718" t="s">
        <v>582</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78" t="s">
        <v>200</v>
      </c>
      <c r="E14" s="78" t="s">
        <v>201</v>
      </c>
      <c r="F14" s="78" t="s">
        <v>202</v>
      </c>
      <c r="G14" s="78" t="s">
        <v>203</v>
      </c>
      <c r="H14" s="78" t="s">
        <v>204</v>
      </c>
      <c r="I14" s="78" t="s">
        <v>205</v>
      </c>
      <c r="J14" s="78" t="s">
        <v>256</v>
      </c>
    </row>
    <row r="15" spans="2:10" ht="41.25" customHeight="1" x14ac:dyDescent="0.2">
      <c r="B15" s="739" t="s">
        <v>218</v>
      </c>
      <c r="C15" s="739"/>
      <c r="D15" s="329">
        <v>0.85</v>
      </c>
      <c r="E15" s="329">
        <v>0.87</v>
      </c>
      <c r="F15" s="329">
        <v>0.93</v>
      </c>
      <c r="G15" s="329">
        <v>0.89</v>
      </c>
      <c r="H15" s="329">
        <v>0.87880000000000003</v>
      </c>
      <c r="I15" s="329">
        <v>0.90600000000000003</v>
      </c>
      <c r="J15" s="329">
        <v>0.90500000000000003</v>
      </c>
    </row>
    <row r="16" spans="2:10" ht="41.25" customHeight="1" x14ac:dyDescent="0.2">
      <c r="B16" s="739" t="s">
        <v>235</v>
      </c>
      <c r="C16" s="739"/>
      <c r="D16" s="308">
        <v>0.9</v>
      </c>
      <c r="E16" s="329">
        <v>0.92</v>
      </c>
      <c r="F16" s="329">
        <v>0.95</v>
      </c>
      <c r="G16" s="329">
        <v>0.92</v>
      </c>
      <c r="H16" s="329">
        <v>0.91500000000000004</v>
      </c>
      <c r="I16" s="329">
        <v>0.9</v>
      </c>
      <c r="J16" s="329">
        <v>0.9</v>
      </c>
    </row>
    <row r="17" spans="2:14" ht="41.25" customHeight="1" x14ac:dyDescent="0.2">
      <c r="B17" s="739" t="s">
        <v>262</v>
      </c>
      <c r="C17" s="739"/>
      <c r="D17" s="329">
        <v>0.75</v>
      </c>
      <c r="E17" s="329">
        <v>0.79</v>
      </c>
      <c r="F17" s="329">
        <v>0.78</v>
      </c>
      <c r="G17" s="329">
        <v>0.93</v>
      </c>
      <c r="H17" s="329">
        <v>0.80500000000000005</v>
      </c>
      <c r="I17" s="329">
        <v>0.83509999999999995</v>
      </c>
      <c r="J17" s="329">
        <v>0.91500000000000004</v>
      </c>
    </row>
    <row r="18" spans="2:14" ht="41.25" customHeight="1" x14ac:dyDescent="0.2">
      <c r="B18" s="739" t="s">
        <v>221</v>
      </c>
      <c r="C18" s="739"/>
      <c r="D18" s="329">
        <v>0.82</v>
      </c>
      <c r="E18" s="329">
        <v>0.84</v>
      </c>
      <c r="F18" s="329">
        <v>0.88</v>
      </c>
      <c r="G18" s="329">
        <v>0.87</v>
      </c>
      <c r="H18" s="329">
        <v>0.875</v>
      </c>
      <c r="I18" s="329">
        <v>0.84499999999999997</v>
      </c>
      <c r="J18" s="329">
        <v>0.86</v>
      </c>
    </row>
    <row r="19" spans="2:14" ht="41.25" customHeight="1" x14ac:dyDescent="0.2">
      <c r="B19" s="739" t="s">
        <v>294</v>
      </c>
      <c r="C19" s="739"/>
      <c r="D19" s="308">
        <v>0.94</v>
      </c>
      <c r="E19" s="329">
        <v>0.94</v>
      </c>
      <c r="F19" s="329">
        <v>0.96</v>
      </c>
      <c r="G19" s="329">
        <v>0.94</v>
      </c>
      <c r="H19" s="329">
        <v>0.94</v>
      </c>
      <c r="I19" s="329">
        <v>0.93</v>
      </c>
      <c r="J19" s="329">
        <v>0.93</v>
      </c>
      <c r="K19" s="20"/>
    </row>
    <row r="20" spans="2:14" ht="41.25" customHeight="1" x14ac:dyDescent="0.2">
      <c r="B20" s="739" t="s">
        <v>295</v>
      </c>
      <c r="C20" s="739"/>
      <c r="D20" s="308">
        <v>0.93</v>
      </c>
      <c r="E20" s="329">
        <v>0.95</v>
      </c>
      <c r="F20" s="329">
        <v>0.97</v>
      </c>
      <c r="G20" s="418" t="s">
        <v>213</v>
      </c>
      <c r="H20" s="329">
        <v>0.94499999999999995</v>
      </c>
      <c r="I20" s="329">
        <v>0.93</v>
      </c>
      <c r="J20" s="329">
        <v>0.92</v>
      </c>
      <c r="K20" s="20"/>
    </row>
    <row r="21" spans="2:14" ht="41.25" customHeight="1" x14ac:dyDescent="0.2">
      <c r="B21" s="739" t="s">
        <v>224</v>
      </c>
      <c r="C21" s="739"/>
      <c r="D21" s="329">
        <v>0.66</v>
      </c>
      <c r="E21" s="329">
        <v>0.67</v>
      </c>
      <c r="F21" s="329">
        <v>0.68</v>
      </c>
      <c r="G21" s="419">
        <v>0.67</v>
      </c>
      <c r="H21" s="420">
        <v>0.87</v>
      </c>
      <c r="I21" s="420">
        <v>0.67</v>
      </c>
      <c r="J21" s="420">
        <v>0.78</v>
      </c>
      <c r="K21" s="20"/>
    </row>
    <row r="22" spans="2:14" ht="41.25" customHeight="1" x14ac:dyDescent="0.2">
      <c r="B22" s="739" t="s">
        <v>225</v>
      </c>
      <c r="C22" s="739"/>
      <c r="D22" s="329" t="s">
        <v>282</v>
      </c>
      <c r="E22" s="329">
        <v>0.7</v>
      </c>
      <c r="F22" s="329">
        <v>0.86</v>
      </c>
      <c r="G22" s="294">
        <v>0.88</v>
      </c>
      <c r="H22" s="294">
        <v>0.89</v>
      </c>
      <c r="I22" s="294">
        <v>0.89</v>
      </c>
      <c r="J22" s="294">
        <v>0.93</v>
      </c>
      <c r="K22" s="20"/>
    </row>
    <row r="23" spans="2:14" ht="41.25" customHeight="1" x14ac:dyDescent="0.2">
      <c r="B23" s="739" t="s">
        <v>226</v>
      </c>
      <c r="C23" s="739"/>
      <c r="D23" s="329">
        <v>0.72</v>
      </c>
      <c r="E23" s="329">
        <v>0.75</v>
      </c>
      <c r="F23" s="329">
        <v>0.81</v>
      </c>
      <c r="G23" s="329">
        <v>0.83</v>
      </c>
      <c r="H23" s="329">
        <v>0.81499999999999995</v>
      </c>
      <c r="I23" s="329">
        <v>0.81</v>
      </c>
      <c r="J23" s="329">
        <v>0.83</v>
      </c>
    </row>
    <row r="24" spans="2:14" ht="41.25" customHeight="1" x14ac:dyDescent="0.2">
      <c r="B24" s="739" t="s">
        <v>227</v>
      </c>
      <c r="C24" s="739"/>
      <c r="D24" s="329">
        <v>0.88</v>
      </c>
      <c r="E24" s="329">
        <v>0.84</v>
      </c>
      <c r="F24" s="329">
        <v>0.9</v>
      </c>
      <c r="G24" s="329">
        <v>0.84</v>
      </c>
      <c r="H24" s="329">
        <v>0.84</v>
      </c>
      <c r="I24" s="329">
        <v>0.86</v>
      </c>
      <c r="J24" s="329">
        <v>0.85499999999999998</v>
      </c>
      <c r="K24" s="50"/>
    </row>
    <row r="25" spans="2:14" ht="41.25" customHeight="1" x14ac:dyDescent="0.2">
      <c r="B25" s="739" t="s">
        <v>228</v>
      </c>
      <c r="C25" s="739"/>
      <c r="D25" s="329">
        <v>0.76</v>
      </c>
      <c r="E25" s="329">
        <v>0.78</v>
      </c>
      <c r="F25" s="329">
        <v>0.81</v>
      </c>
      <c r="G25" s="329">
        <v>0.76</v>
      </c>
      <c r="H25" s="421">
        <v>0.76</v>
      </c>
      <c r="I25" s="421">
        <v>0.74</v>
      </c>
      <c r="J25" s="421">
        <v>0.78</v>
      </c>
      <c r="K25" s="50"/>
    </row>
    <row r="26" spans="2:14" ht="41.25" customHeight="1" x14ac:dyDescent="0.2">
      <c r="B26" s="739" t="s">
        <v>241</v>
      </c>
      <c r="C26" s="739"/>
      <c r="D26" s="329">
        <v>0.94</v>
      </c>
      <c r="E26" s="329">
        <v>0.98</v>
      </c>
      <c r="F26" s="329">
        <v>0.89</v>
      </c>
      <c r="G26" s="329">
        <v>0.96</v>
      </c>
      <c r="H26" s="329">
        <v>0.99</v>
      </c>
      <c r="I26" s="329">
        <v>0.96</v>
      </c>
      <c r="J26" s="329">
        <v>0.92</v>
      </c>
      <c r="K26" s="50"/>
    </row>
    <row r="27" spans="2:14" ht="41.25" customHeight="1" x14ac:dyDescent="0.2">
      <c r="B27" s="739" t="s">
        <v>266</v>
      </c>
      <c r="C27" s="739"/>
      <c r="D27" s="329">
        <v>0.84</v>
      </c>
      <c r="E27" s="329">
        <v>0.94</v>
      </c>
      <c r="F27" s="329">
        <v>0.86</v>
      </c>
      <c r="G27" s="329">
        <v>0.9</v>
      </c>
      <c r="H27" s="329">
        <v>0.93</v>
      </c>
      <c r="I27" s="329">
        <v>0.94</v>
      </c>
      <c r="J27" s="329">
        <v>0.84</v>
      </c>
      <c r="K27" s="50"/>
    </row>
    <row r="28" spans="2:14" ht="41.25" customHeight="1" x14ac:dyDescent="0.2">
      <c r="B28" s="739" t="s">
        <v>252</v>
      </c>
      <c r="C28" s="739"/>
      <c r="D28" s="329">
        <v>0.94</v>
      </c>
      <c r="E28" s="329">
        <v>0.95</v>
      </c>
      <c r="F28" s="329">
        <v>0.95</v>
      </c>
      <c r="G28" s="329">
        <v>0.97</v>
      </c>
      <c r="H28" s="329">
        <v>0.99</v>
      </c>
      <c r="I28" s="329">
        <v>0.97</v>
      </c>
      <c r="J28" s="329">
        <v>0.96</v>
      </c>
      <c r="K28" s="50"/>
    </row>
    <row r="29" spans="2:14" ht="41.25" customHeight="1" x14ac:dyDescent="0.2">
      <c r="B29" s="739" t="s">
        <v>244</v>
      </c>
      <c r="C29" s="739"/>
      <c r="D29" s="329">
        <v>0.97</v>
      </c>
      <c r="E29" s="329">
        <v>0.93</v>
      </c>
      <c r="F29" s="329">
        <v>0.97</v>
      </c>
      <c r="G29" s="329">
        <v>0.94</v>
      </c>
      <c r="H29" s="329">
        <v>0.94</v>
      </c>
      <c r="I29" s="329">
        <v>0.97</v>
      </c>
      <c r="J29" s="329">
        <v>0.97</v>
      </c>
      <c r="K29" s="50"/>
    </row>
    <row r="30" spans="2:14" ht="41.25" customHeight="1" x14ac:dyDescent="0.2">
      <c r="B30" s="739" t="s">
        <v>253</v>
      </c>
      <c r="C30" s="739"/>
      <c r="D30" s="329">
        <v>0.83</v>
      </c>
      <c r="E30" s="329">
        <v>0.9</v>
      </c>
      <c r="F30" s="329">
        <v>0.86</v>
      </c>
      <c r="G30" s="329">
        <v>0.86</v>
      </c>
      <c r="H30" s="329">
        <v>1</v>
      </c>
      <c r="I30" s="329">
        <v>1</v>
      </c>
      <c r="J30" s="329">
        <v>0.98</v>
      </c>
      <c r="K30" s="50"/>
    </row>
    <row r="31" spans="2:14" ht="41.25" customHeight="1" x14ac:dyDescent="0.2">
      <c r="B31" s="739" t="s">
        <v>245</v>
      </c>
      <c r="C31" s="739"/>
      <c r="D31" s="329">
        <v>1</v>
      </c>
      <c r="E31" s="329">
        <v>1</v>
      </c>
      <c r="F31" s="329">
        <v>0.98</v>
      </c>
      <c r="G31" s="329">
        <v>0.96</v>
      </c>
      <c r="H31" s="329" t="s">
        <v>213</v>
      </c>
      <c r="I31" s="329">
        <v>1</v>
      </c>
      <c r="J31" s="329">
        <v>0.93</v>
      </c>
      <c r="K31" s="50"/>
    </row>
    <row r="32" spans="2:14" ht="41.25" customHeight="1" x14ac:dyDescent="0.2">
      <c r="B32" s="739" t="s">
        <v>372</v>
      </c>
      <c r="C32" s="739"/>
      <c r="D32" s="329">
        <v>1</v>
      </c>
      <c r="E32" s="329">
        <v>0.97</v>
      </c>
      <c r="F32" s="329">
        <v>0.72</v>
      </c>
      <c r="G32" s="329">
        <v>0.99</v>
      </c>
      <c r="H32" s="329">
        <v>0.96</v>
      </c>
      <c r="I32" s="329">
        <v>0.95</v>
      </c>
      <c r="J32" s="329">
        <v>0.96</v>
      </c>
      <c r="N32" s="230" t="s">
        <v>470</v>
      </c>
    </row>
    <row r="33" spans="2:14" ht="22.5" customHeight="1" x14ac:dyDescent="0.2">
      <c r="B33" s="948" t="str">
        <f>D5</f>
        <v>≥ 80%</v>
      </c>
      <c r="C33" s="948"/>
      <c r="D33" s="325">
        <f>COUNTIF(D15:D32,"&gt;="&amp;D35)</f>
        <v>13</v>
      </c>
      <c r="E33" s="325">
        <f t="shared" ref="E33:J33" si="0">COUNTIF(E15:E32,"&gt;="&amp;E35)</f>
        <v>13</v>
      </c>
      <c r="F33" s="325">
        <f t="shared" si="0"/>
        <v>15</v>
      </c>
      <c r="G33" s="325">
        <f t="shared" si="0"/>
        <v>15</v>
      </c>
      <c r="H33" s="325">
        <f t="shared" si="0"/>
        <v>16</v>
      </c>
      <c r="I33" s="325">
        <f t="shared" si="0"/>
        <v>16</v>
      </c>
      <c r="J33" s="325">
        <f t="shared" si="0"/>
        <v>16</v>
      </c>
      <c r="N33" s="946" t="s">
        <v>335</v>
      </c>
    </row>
    <row r="34" spans="2:14" ht="22.5" customHeight="1" x14ac:dyDescent="0.2">
      <c r="B34" s="734" t="s">
        <v>248</v>
      </c>
      <c r="C34" s="734"/>
      <c r="D34" s="325">
        <f t="shared" ref="D34:J34" si="1">COUNT(D15:D32)</f>
        <v>17</v>
      </c>
      <c r="E34" s="325">
        <f t="shared" si="1"/>
        <v>18</v>
      </c>
      <c r="F34" s="325">
        <f t="shared" si="1"/>
        <v>18</v>
      </c>
      <c r="G34" s="325">
        <f t="shared" si="1"/>
        <v>17</v>
      </c>
      <c r="H34" s="325">
        <f t="shared" si="1"/>
        <v>17</v>
      </c>
      <c r="I34" s="325">
        <f t="shared" si="1"/>
        <v>18</v>
      </c>
      <c r="J34" s="325">
        <f t="shared" si="1"/>
        <v>18</v>
      </c>
      <c r="N34" s="947"/>
    </row>
    <row r="35" spans="2:14" ht="22.5" customHeight="1" x14ac:dyDescent="0.2">
      <c r="B35" s="730" t="s">
        <v>207</v>
      </c>
      <c r="C35" s="787"/>
      <c r="D35" s="305">
        <v>0.8</v>
      </c>
      <c r="E35" s="305">
        <v>0.8</v>
      </c>
      <c r="F35" s="305">
        <v>0.8</v>
      </c>
      <c r="G35" s="305">
        <v>0.8</v>
      </c>
      <c r="H35" s="305">
        <v>0.8</v>
      </c>
      <c r="I35" s="305">
        <v>0.8</v>
      </c>
      <c r="J35" s="305">
        <v>0.8</v>
      </c>
    </row>
    <row r="36" spans="2:14" ht="22.5" customHeight="1" x14ac:dyDescent="0.2">
      <c r="B36" s="730" t="s">
        <v>208</v>
      </c>
      <c r="C36" s="787"/>
      <c r="D36" s="43">
        <f t="shared" ref="D36:J36" si="2">D33/D34</f>
        <v>0.76470588235294112</v>
      </c>
      <c r="E36" s="43">
        <f t="shared" si="2"/>
        <v>0.72222222222222221</v>
      </c>
      <c r="F36" s="43">
        <f t="shared" si="2"/>
        <v>0.83333333333333337</v>
      </c>
      <c r="G36" s="43">
        <f t="shared" si="2"/>
        <v>0.88235294117647056</v>
      </c>
      <c r="H36" s="43">
        <f t="shared" si="2"/>
        <v>0.94117647058823528</v>
      </c>
      <c r="I36" s="43">
        <f t="shared" si="2"/>
        <v>0.88888888888888884</v>
      </c>
      <c r="J36" s="43">
        <f t="shared" si="2"/>
        <v>0.88888888888888884</v>
      </c>
    </row>
    <row r="37" spans="2:14" ht="22.5" customHeight="1" x14ac:dyDescent="0.25">
      <c r="B37" s="7"/>
      <c r="C37" s="7"/>
      <c r="D37" s="6"/>
      <c r="E37" s="6"/>
      <c r="F37" s="6"/>
      <c r="G37" s="6"/>
      <c r="H37" s="6"/>
      <c r="I37" s="6"/>
    </row>
    <row r="38" spans="2:14" ht="22.5" customHeight="1" x14ac:dyDescent="0.2">
      <c r="B38" s="567" t="s">
        <v>469</v>
      </c>
      <c r="C38" s="568"/>
      <c r="D38" s="568"/>
      <c r="E38" s="569"/>
      <c r="F38" s="8"/>
    </row>
    <row r="39" spans="2:14" ht="22.5" customHeight="1" x14ac:dyDescent="0.2">
      <c r="B39" s="8"/>
      <c r="C39" s="8"/>
      <c r="D39" s="8"/>
      <c r="E39" s="8"/>
      <c r="F39" s="8"/>
    </row>
    <row r="40" spans="2:14" ht="6" customHeight="1" x14ac:dyDescent="0.2">
      <c r="B40" s="8"/>
      <c r="C40" s="8"/>
      <c r="D40" s="8"/>
      <c r="E40" s="8"/>
      <c r="F40" s="8"/>
    </row>
    <row r="41" spans="2:14" ht="19.5" customHeight="1" x14ac:dyDescent="0.2">
      <c r="B41" s="8"/>
      <c r="C41" s="8"/>
      <c r="D41" s="8"/>
      <c r="E41" s="8"/>
      <c r="F41" s="8"/>
    </row>
    <row r="42" spans="2:14" ht="19.5" customHeight="1" x14ac:dyDescent="0.2">
      <c r="B42" s="8"/>
      <c r="C42" s="8"/>
      <c r="D42" s="8"/>
      <c r="E42" s="8"/>
      <c r="F42" s="8"/>
    </row>
    <row r="43" spans="2:14" ht="19.5" customHeight="1" x14ac:dyDescent="0.2">
      <c r="B43" s="8"/>
      <c r="C43" s="8"/>
      <c r="D43" s="8"/>
      <c r="E43" s="8"/>
      <c r="F43" s="8"/>
    </row>
    <row r="44" spans="2:14" ht="19.5" customHeight="1" x14ac:dyDescent="0.2">
      <c r="B44" s="8"/>
      <c r="C44" s="8"/>
      <c r="D44" s="8"/>
      <c r="E44" s="8"/>
      <c r="F44" s="8"/>
    </row>
    <row r="45" spans="2:14" ht="19.5" customHeight="1" x14ac:dyDescent="0.2">
      <c r="B45" s="8"/>
      <c r="C45" s="8"/>
      <c r="D45" s="8"/>
      <c r="E45" s="8"/>
      <c r="F45" s="8"/>
    </row>
    <row r="46" spans="2:14" ht="19.5" customHeight="1" x14ac:dyDescent="0.2">
      <c r="B46" s="8"/>
      <c r="C46" s="8"/>
      <c r="D46" s="8"/>
      <c r="E46" s="8"/>
      <c r="F46" s="8"/>
    </row>
    <row r="47" spans="2:14" ht="19.5" customHeight="1" x14ac:dyDescent="0.2">
      <c r="B47" s="8"/>
      <c r="C47" s="8"/>
      <c r="D47" s="8"/>
      <c r="E47" s="8"/>
      <c r="F47" s="8"/>
    </row>
    <row r="48" spans="2:14" ht="19.5" customHeight="1" x14ac:dyDescent="0.2">
      <c r="B48" s="8"/>
      <c r="C48" s="8"/>
      <c r="D48" s="8"/>
      <c r="E48" s="8"/>
      <c r="F48" s="8"/>
    </row>
    <row r="49" spans="8:10" ht="19.5" customHeight="1" x14ac:dyDescent="0.2"/>
    <row r="50" spans="8:10" ht="19.5" customHeight="1" x14ac:dyDescent="0.2">
      <c r="H50" s="559" t="s">
        <v>155</v>
      </c>
      <c r="I50" s="560"/>
      <c r="J50" s="560"/>
    </row>
  </sheetData>
  <sheetProtection formatCells="0" formatColumns="0" formatRows="0" insertColumns="0" insertRows="0" insertHyperlinks="0" deleteColumns="0" deleteRows="0" pivotTables="0"/>
  <mergeCells count="52">
    <mergeCell ref="B2:D2"/>
    <mergeCell ref="E2:J2"/>
    <mergeCell ref="B4:C4"/>
    <mergeCell ref="D4:E4"/>
    <mergeCell ref="F4:G4"/>
    <mergeCell ref="H4:J4"/>
    <mergeCell ref="B18:C18"/>
    <mergeCell ref="H9:J9"/>
    <mergeCell ref="B5:C5"/>
    <mergeCell ref="D5:E5"/>
    <mergeCell ref="F5:G5"/>
    <mergeCell ref="H5:J5"/>
    <mergeCell ref="B7:C7"/>
    <mergeCell ref="D7:E7"/>
    <mergeCell ref="F7:G7"/>
    <mergeCell ref="B6:C6"/>
    <mergeCell ref="D6:E6"/>
    <mergeCell ref="F6:G6"/>
    <mergeCell ref="H6:J6"/>
    <mergeCell ref="H7:J7"/>
    <mergeCell ref="H50:J50"/>
    <mergeCell ref="B20:C20"/>
    <mergeCell ref="B25:C25"/>
    <mergeCell ref="B26:C26"/>
    <mergeCell ref="B27:C27"/>
    <mergeCell ref="B28:C28"/>
    <mergeCell ref="B29:C29"/>
    <mergeCell ref="B30:C30"/>
    <mergeCell ref="B31:C31"/>
    <mergeCell ref="B34:C34"/>
    <mergeCell ref="B35:C35"/>
    <mergeCell ref="B36:C36"/>
    <mergeCell ref="B38:E38"/>
    <mergeCell ref="B21:C21"/>
    <mergeCell ref="B22:C22"/>
    <mergeCell ref="B23:C23"/>
    <mergeCell ref="N33:N34"/>
    <mergeCell ref="B8:C8"/>
    <mergeCell ref="D8:E8"/>
    <mergeCell ref="F8:G8"/>
    <mergeCell ref="H8:J8"/>
    <mergeCell ref="D9:E9"/>
    <mergeCell ref="F9:G9"/>
    <mergeCell ref="B24:C24"/>
    <mergeCell ref="B32:C32"/>
    <mergeCell ref="B33:C33"/>
    <mergeCell ref="B19:C19"/>
    <mergeCell ref="B9:C9"/>
    <mergeCell ref="B11:J11"/>
    <mergeCell ref="B15:C15"/>
    <mergeCell ref="B16:C16"/>
    <mergeCell ref="B17:C17"/>
  </mergeCells>
  <phoneticPr fontId="95" type="noConversion"/>
  <conditionalFormatting sqref="D15:J32">
    <cfRule type="cellIs" dxfId="27" priority="1" operator="between">
      <formula>0</formula>
      <formula>0.72</formula>
    </cfRule>
  </conditionalFormatting>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BAB70-0733-4C54-A804-AFA5A3014FB8}">
  <sheetPr>
    <tabColor theme="9" tint="-0.499984740745262"/>
  </sheetPr>
  <dimension ref="A2:L29"/>
  <sheetViews>
    <sheetView workbookViewId="0">
      <selection activeCell="A2" sqref="A2:C2"/>
    </sheetView>
  </sheetViews>
  <sheetFormatPr defaultColWidth="9.140625" defaultRowHeight="12.75" x14ac:dyDescent="0.2"/>
  <cols>
    <col min="2" max="2" width="27.85546875" customWidth="1"/>
    <col min="3" max="3" width="12.140625" customWidth="1"/>
    <col min="4" max="4" width="15.42578125" customWidth="1"/>
    <col min="5" max="5" width="12" customWidth="1"/>
    <col min="6" max="6" width="15.85546875" customWidth="1"/>
    <col min="7" max="7" width="10.85546875" customWidth="1"/>
    <col min="8" max="8" width="11.85546875" customWidth="1"/>
    <col min="9" max="9" width="22.7109375" customWidth="1"/>
  </cols>
  <sheetData>
    <row r="2" spans="1:9" ht="77.25" customHeight="1" x14ac:dyDescent="0.25">
      <c r="A2" s="588"/>
      <c r="B2" s="589"/>
      <c r="C2" s="565"/>
      <c r="D2" s="590" t="s">
        <v>192</v>
      </c>
      <c r="E2" s="589"/>
      <c r="F2" s="589"/>
      <c r="G2" s="589"/>
      <c r="H2" s="589"/>
      <c r="I2" s="565"/>
    </row>
    <row r="3" spans="1:9" ht="16.5" x14ac:dyDescent="0.25">
      <c r="A3" s="187"/>
      <c r="B3" s="187"/>
      <c r="C3" s="188"/>
      <c r="D3" s="188"/>
      <c r="E3" s="188"/>
      <c r="F3" s="188"/>
      <c r="G3" s="188"/>
      <c r="H3" s="188"/>
      <c r="I3" s="186"/>
    </row>
    <row r="4" spans="1:9" ht="46.5" customHeight="1" x14ac:dyDescent="0.25">
      <c r="A4" s="561" t="s">
        <v>193</v>
      </c>
      <c r="B4" s="563"/>
      <c r="C4" s="622" t="str">
        <f>Índex!B9</f>
        <v>PE1-01_Ind03</v>
      </c>
      <c r="D4" s="623"/>
      <c r="E4" s="561" t="s">
        <v>194</v>
      </c>
      <c r="F4" s="563"/>
      <c r="G4" s="622" t="str">
        <f>Índex!C9</f>
        <v>Número d'accions implantades,a  la Facultat de Ciències, directament relacionades amb els ODS (Pla Estratègic 2022/2023 fins 2024/2025)</v>
      </c>
      <c r="H4" s="589"/>
      <c r="I4" s="565"/>
    </row>
    <row r="5" spans="1:9" ht="33.75" customHeight="1" x14ac:dyDescent="0.25">
      <c r="A5" s="561" t="s">
        <v>195</v>
      </c>
      <c r="B5" s="563"/>
      <c r="C5" s="622" t="str">
        <f>Índex!F9</f>
        <v>3 accions dins el mandat</v>
      </c>
      <c r="D5" s="623"/>
      <c r="E5" s="585" t="s">
        <v>196</v>
      </c>
      <c r="F5" s="563"/>
      <c r="G5" s="622" t="s">
        <v>212</v>
      </c>
      <c r="H5" s="589"/>
      <c r="I5" s="565"/>
    </row>
    <row r="6" spans="1:9" ht="13.5" x14ac:dyDescent="0.2">
      <c r="A6" s="561" t="s">
        <v>471</v>
      </c>
      <c r="B6" s="582"/>
      <c r="C6" s="617" t="str">
        <f>Índex!H9</f>
        <v>Pla Estratègic</v>
      </c>
      <c r="D6" s="621"/>
      <c r="E6" s="585" t="s">
        <v>462</v>
      </c>
      <c r="F6" s="606"/>
      <c r="G6" s="617"/>
      <c r="H6" s="618"/>
      <c r="I6" s="621"/>
    </row>
    <row r="7" spans="1:9" ht="13.5" x14ac:dyDescent="0.2">
      <c r="A7" s="561" t="s">
        <v>463</v>
      </c>
      <c r="B7" s="582"/>
      <c r="C7" s="622"/>
      <c r="D7" s="623"/>
      <c r="E7" s="585" t="s">
        <v>464</v>
      </c>
      <c r="F7" s="606"/>
      <c r="G7" s="617" t="s">
        <v>198</v>
      </c>
      <c r="H7" s="618"/>
      <c r="I7" s="621"/>
    </row>
    <row r="8" spans="1:9" ht="13.5" x14ac:dyDescent="0.25">
      <c r="A8" s="561" t="s">
        <v>473</v>
      </c>
      <c r="B8" s="563"/>
      <c r="C8" s="622" t="str">
        <f>Índex!D9</f>
        <v>Degà</v>
      </c>
      <c r="D8" s="623"/>
      <c r="E8" s="561" t="s">
        <v>466</v>
      </c>
      <c r="F8" s="563"/>
      <c r="G8" s="619" t="str">
        <f>Índex!E9</f>
        <v>Gestora de Qualitat</v>
      </c>
      <c r="H8" s="620"/>
      <c r="I8" s="591"/>
    </row>
    <row r="9" spans="1:9" ht="26.25" customHeight="1" x14ac:dyDescent="0.25">
      <c r="A9" s="561" t="s">
        <v>461</v>
      </c>
      <c r="B9" s="563"/>
      <c r="C9" s="617" t="str">
        <f>Índex!G9</f>
        <v xml:space="preserve"> PE1.01. Definició de la Política de Qualitat</v>
      </c>
      <c r="D9" s="618"/>
      <c r="E9" s="561" t="s">
        <v>467</v>
      </c>
      <c r="F9" s="563"/>
      <c r="G9" s="619"/>
      <c r="H9" s="620"/>
      <c r="I9" s="591"/>
    </row>
    <row r="10" spans="1:9" ht="13.5" x14ac:dyDescent="0.25">
      <c r="A10" s="186"/>
      <c r="B10" s="186"/>
      <c r="C10" s="186"/>
      <c r="D10" s="186"/>
      <c r="E10" s="186"/>
      <c r="F10" s="186"/>
      <c r="G10" s="186"/>
      <c r="H10" s="186"/>
      <c r="I10" s="186"/>
    </row>
    <row r="11" spans="1:9" ht="13.5" x14ac:dyDescent="0.25">
      <c r="A11" s="561" t="s">
        <v>468</v>
      </c>
      <c r="B11" s="562"/>
      <c r="C11" s="562"/>
      <c r="D11" s="562"/>
      <c r="E11" s="614"/>
      <c r="F11" s="562"/>
      <c r="G11" s="562"/>
      <c r="H11" s="562"/>
      <c r="I11" s="563"/>
    </row>
    <row r="12" spans="1:9" ht="13.5" x14ac:dyDescent="0.25">
      <c r="A12" s="186"/>
      <c r="B12" s="186"/>
      <c r="C12" s="186"/>
      <c r="D12" s="186"/>
      <c r="E12" s="186"/>
      <c r="F12" s="186"/>
      <c r="G12" s="186"/>
      <c r="H12" s="186"/>
      <c r="I12" s="186"/>
    </row>
    <row r="13" spans="1:9" ht="14.25" x14ac:dyDescent="0.25">
      <c r="A13" s="186"/>
      <c r="B13" s="186"/>
      <c r="C13" s="476" t="s">
        <v>205</v>
      </c>
      <c r="D13" s="482" t="s">
        <v>256</v>
      </c>
      <c r="E13" s="479"/>
    </row>
    <row r="14" spans="1:9" ht="13.5" x14ac:dyDescent="0.25">
      <c r="A14" s="615" t="s">
        <v>206</v>
      </c>
      <c r="B14" s="565"/>
      <c r="C14" s="477">
        <v>9</v>
      </c>
      <c r="D14" s="128">
        <v>5</v>
      </c>
      <c r="E14" s="480"/>
    </row>
    <row r="15" spans="1:9" ht="13.5" x14ac:dyDescent="0.25">
      <c r="A15" s="616" t="s">
        <v>207</v>
      </c>
      <c r="B15" s="565"/>
      <c r="C15" s="477">
        <v>3</v>
      </c>
      <c r="D15" s="128">
        <v>3</v>
      </c>
      <c r="E15" s="480"/>
    </row>
    <row r="16" spans="1:9" ht="21.75" customHeight="1" x14ac:dyDescent="0.25">
      <c r="A16" s="616" t="s">
        <v>208</v>
      </c>
      <c r="B16" s="565"/>
      <c r="C16" s="478">
        <f>C14/C15</f>
        <v>3</v>
      </c>
      <c r="D16" s="95">
        <f>D14/D15</f>
        <v>1.6666666666666667</v>
      </c>
      <c r="E16" s="481"/>
    </row>
    <row r="19" spans="1:12" ht="13.5" x14ac:dyDescent="0.25">
      <c r="A19" s="561" t="s">
        <v>469</v>
      </c>
      <c r="B19" s="562"/>
      <c r="C19" s="562"/>
      <c r="D19" s="563"/>
      <c r="E19" s="186"/>
      <c r="F19" s="186"/>
      <c r="G19" s="186"/>
      <c r="H19" s="186"/>
      <c r="I19" s="561" t="s">
        <v>470</v>
      </c>
      <c r="J19" s="562"/>
      <c r="K19" s="562"/>
      <c r="L19" s="563"/>
    </row>
    <row r="20" spans="1:12" ht="13.5" x14ac:dyDescent="0.25">
      <c r="A20" s="186"/>
      <c r="B20" s="186"/>
      <c r="C20" s="186"/>
      <c r="D20" s="186"/>
      <c r="E20" s="186"/>
      <c r="F20" s="186"/>
      <c r="G20" s="186"/>
      <c r="H20" s="186"/>
      <c r="I20" s="624" t="s">
        <v>460</v>
      </c>
      <c r="J20" s="625"/>
      <c r="K20" s="625"/>
      <c r="L20" s="626"/>
    </row>
    <row r="21" spans="1:12" ht="13.5" customHeight="1" x14ac:dyDescent="0.25">
      <c r="A21" s="186"/>
      <c r="B21" s="186"/>
      <c r="C21" s="186"/>
      <c r="D21" s="186"/>
      <c r="E21" s="186"/>
      <c r="F21" s="186"/>
      <c r="G21" s="186"/>
      <c r="H21" s="186"/>
      <c r="I21" s="627"/>
      <c r="J21" s="628"/>
      <c r="K21" s="628"/>
      <c r="L21" s="629"/>
    </row>
    <row r="22" spans="1:12" ht="13.5" x14ac:dyDescent="0.25">
      <c r="A22" s="186"/>
      <c r="B22" s="186"/>
      <c r="C22" s="186"/>
      <c r="D22" s="186"/>
      <c r="E22" s="186"/>
      <c r="F22" s="186"/>
      <c r="G22" s="186"/>
      <c r="H22" s="186"/>
      <c r="I22" s="627"/>
      <c r="J22" s="628"/>
      <c r="K22" s="628"/>
      <c r="L22" s="629"/>
    </row>
    <row r="23" spans="1:12" ht="13.5" x14ac:dyDescent="0.25">
      <c r="A23" s="186"/>
      <c r="B23" s="186"/>
      <c r="C23" s="186"/>
      <c r="D23" s="186"/>
      <c r="E23" s="186"/>
      <c r="F23" s="186"/>
      <c r="G23" s="186"/>
      <c r="H23" s="186"/>
      <c r="I23" s="627"/>
      <c r="J23" s="628"/>
      <c r="K23" s="628"/>
      <c r="L23" s="629"/>
    </row>
    <row r="24" spans="1:12" ht="13.5" x14ac:dyDescent="0.25">
      <c r="A24" s="186"/>
      <c r="B24" s="186"/>
      <c r="C24" s="186"/>
      <c r="D24" s="186"/>
      <c r="E24" s="186"/>
      <c r="F24" s="186"/>
      <c r="G24" s="186"/>
      <c r="H24" s="186"/>
      <c r="I24" s="627"/>
      <c r="J24" s="628"/>
      <c r="K24" s="628"/>
      <c r="L24" s="629"/>
    </row>
    <row r="25" spans="1:12" ht="13.5" x14ac:dyDescent="0.25">
      <c r="A25" s="186"/>
      <c r="B25" s="186"/>
      <c r="C25" s="186"/>
      <c r="D25" s="186"/>
      <c r="E25" s="186"/>
      <c r="F25" s="186"/>
      <c r="G25" s="186"/>
      <c r="H25" s="186"/>
      <c r="I25" s="627"/>
      <c r="J25" s="628"/>
      <c r="K25" s="628"/>
      <c r="L25" s="629"/>
    </row>
    <row r="26" spans="1:12" ht="13.5" x14ac:dyDescent="0.25">
      <c r="A26" s="186"/>
      <c r="B26" s="186"/>
      <c r="C26" s="186"/>
      <c r="D26" s="186"/>
      <c r="E26" s="186"/>
      <c r="F26" s="186"/>
      <c r="G26" s="186"/>
      <c r="H26" s="186"/>
      <c r="I26" s="627"/>
      <c r="J26" s="628"/>
      <c r="K26" s="628"/>
      <c r="L26" s="629"/>
    </row>
    <row r="27" spans="1:12" ht="13.5" x14ac:dyDescent="0.25">
      <c r="A27" s="186"/>
      <c r="B27" s="186"/>
      <c r="C27" s="186"/>
      <c r="D27" s="186"/>
      <c r="E27" s="186"/>
      <c r="F27" s="186"/>
      <c r="G27" s="186"/>
      <c r="H27" s="186"/>
      <c r="I27" s="627"/>
      <c r="J27" s="628"/>
      <c r="K27" s="628"/>
      <c r="L27" s="629"/>
    </row>
    <row r="28" spans="1:12" ht="13.5" x14ac:dyDescent="0.25">
      <c r="A28" s="186"/>
      <c r="B28" s="186"/>
      <c r="C28" s="186"/>
      <c r="D28" s="186"/>
      <c r="E28" s="186"/>
      <c r="F28" s="186"/>
      <c r="G28" s="186"/>
      <c r="H28" s="186"/>
      <c r="I28" s="627"/>
      <c r="J28" s="628"/>
      <c r="K28" s="628"/>
      <c r="L28" s="629"/>
    </row>
    <row r="29" spans="1:12" ht="13.5" x14ac:dyDescent="0.25">
      <c r="A29" s="186"/>
      <c r="B29" s="186"/>
      <c r="C29" s="186"/>
      <c r="D29" s="186"/>
      <c r="E29" s="186"/>
      <c r="F29" s="186"/>
      <c r="G29" s="186"/>
      <c r="H29" s="186"/>
      <c r="I29" s="630"/>
      <c r="J29" s="631"/>
      <c r="K29" s="631"/>
      <c r="L29" s="632"/>
    </row>
  </sheetData>
  <sheetProtection formatCells="0" formatColumns="0" formatRows="0" insertColumns="0" insertRows="0" insertHyperlinks="0" deleteColumns="0" deleteRows="0" pivotTables="0"/>
  <mergeCells count="33">
    <mergeCell ref="I20:L29"/>
    <mergeCell ref="A2:C2"/>
    <mergeCell ref="D2:I2"/>
    <mergeCell ref="A4:B4"/>
    <mergeCell ref="C4:D4"/>
    <mergeCell ref="E4:F4"/>
    <mergeCell ref="G4:I4"/>
    <mergeCell ref="A5:B5"/>
    <mergeCell ref="C5:D5"/>
    <mergeCell ref="E5:F5"/>
    <mergeCell ref="G5:I5"/>
    <mergeCell ref="A8:B8"/>
    <mergeCell ref="C8:D8"/>
    <mergeCell ref="E8:F8"/>
    <mergeCell ref="G8:I8"/>
    <mergeCell ref="A6:B6"/>
    <mergeCell ref="C6:D6"/>
    <mergeCell ref="E6:F6"/>
    <mergeCell ref="G6:I6"/>
    <mergeCell ref="A7:B7"/>
    <mergeCell ref="C7:D7"/>
    <mergeCell ref="E7:F7"/>
    <mergeCell ref="G7:I7"/>
    <mergeCell ref="A19:D19"/>
    <mergeCell ref="I19:L19"/>
    <mergeCell ref="A9:B9"/>
    <mergeCell ref="A11:I11"/>
    <mergeCell ref="A14:B14"/>
    <mergeCell ref="A15:B15"/>
    <mergeCell ref="A16:B16"/>
    <mergeCell ref="C9:D9"/>
    <mergeCell ref="E9:F9"/>
    <mergeCell ref="G9:I9"/>
  </mergeCells>
  <phoneticPr fontId="95" type="noConversion"/>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81277-9D25-4A2F-855F-0299CB275CB8}">
  <sheetPr>
    <tabColor theme="9" tint="-0.499984740745262"/>
    <pageSetUpPr fitToPage="1"/>
  </sheetPr>
  <dimension ref="B2:Q49"/>
  <sheetViews>
    <sheetView showGridLines="0" workbookViewId="0">
      <selection activeCell="L6" sqref="L6"/>
    </sheetView>
  </sheetViews>
  <sheetFormatPr defaultColWidth="12.5703125" defaultRowHeight="15.75" customHeight="1" x14ac:dyDescent="0.2"/>
  <cols>
    <col min="1" max="1" width="3.42578125" customWidth="1"/>
    <col min="2" max="2" width="14.140625" customWidth="1"/>
    <col min="3" max="3" width="16.85546875" customWidth="1"/>
    <col min="4" max="4" width="17.28515625" customWidth="1"/>
    <col min="5" max="9" width="12.5703125" customWidth="1"/>
    <col min="10" max="10" width="36.28515625" customWidth="1"/>
    <col min="11" max="20" width="7.5703125" customWidth="1"/>
  </cols>
  <sheetData>
    <row r="2" spans="2:13" ht="55.5" customHeight="1" x14ac:dyDescent="0.2">
      <c r="B2" s="714"/>
      <c r="C2" s="715"/>
      <c r="D2" s="716"/>
      <c r="E2" s="717" t="s">
        <v>192</v>
      </c>
      <c r="F2" s="715"/>
      <c r="G2" s="715"/>
      <c r="H2" s="715"/>
      <c r="I2" s="715"/>
      <c r="J2" s="716"/>
    </row>
    <row r="3" spans="2:13" ht="22.5" customHeight="1" x14ac:dyDescent="0.2">
      <c r="B3" s="41"/>
      <c r="C3" s="41"/>
      <c r="D3" s="42"/>
      <c r="E3" s="42"/>
      <c r="F3" s="42"/>
      <c r="G3" s="42"/>
      <c r="H3" s="42"/>
      <c r="I3" s="42"/>
    </row>
    <row r="4" spans="2:13" ht="42" customHeight="1" x14ac:dyDescent="0.2">
      <c r="B4" s="567" t="s">
        <v>193</v>
      </c>
      <c r="C4" s="569"/>
      <c r="D4" s="718" t="str">
        <f>Índex!B45</f>
        <v xml:space="preserve">PC3.04_Ind02. </v>
      </c>
      <c r="E4" s="716"/>
      <c r="F4" s="567" t="s">
        <v>194</v>
      </c>
      <c r="G4" s="569"/>
      <c r="H4" s="718" t="str">
        <f>Índex!C45</f>
        <v>Puntuació mitjana a l’afirmació “El sistema d’avaluació s’explica clarament a la Guia Docent de l’assignatura” de l’enquesta de satisfacció d’assignatura dels graus i dels màsters</v>
      </c>
      <c r="I4" s="715"/>
      <c r="J4" s="716"/>
    </row>
    <row r="5" spans="2:13" ht="22.5" customHeight="1" x14ac:dyDescent="0.2">
      <c r="B5" s="567" t="s">
        <v>314</v>
      </c>
      <c r="C5" s="569"/>
      <c r="D5" s="718" t="str">
        <f>Índex!F45</f>
        <v>≥ 3</v>
      </c>
      <c r="E5" s="716"/>
      <c r="F5" s="567" t="s">
        <v>196</v>
      </c>
      <c r="G5" s="569"/>
      <c r="H5" s="718" t="s">
        <v>216</v>
      </c>
      <c r="I5" s="715"/>
      <c r="J5" s="716"/>
    </row>
    <row r="6" spans="2:13" ht="22.5" customHeight="1" x14ac:dyDescent="0.2">
      <c r="B6" s="567" t="s">
        <v>471</v>
      </c>
      <c r="C6" s="569"/>
      <c r="D6" s="718" t="str">
        <f>Índex!H45</f>
        <v>Objectiu de Qualitat. Grups d'interès</v>
      </c>
      <c r="E6" s="716"/>
      <c r="F6" s="567" t="s">
        <v>462</v>
      </c>
      <c r="G6" s="569"/>
      <c r="H6" s="718"/>
      <c r="I6" s="715"/>
      <c r="J6" s="716"/>
    </row>
    <row r="7" spans="2:13" ht="22.5" customHeight="1" x14ac:dyDescent="0.2">
      <c r="B7" s="567" t="s">
        <v>463</v>
      </c>
      <c r="C7" s="569"/>
      <c r="D7" s="718"/>
      <c r="E7" s="716"/>
      <c r="F7" s="567" t="s">
        <v>464</v>
      </c>
      <c r="G7" s="569"/>
      <c r="H7" s="718" t="s">
        <v>198</v>
      </c>
      <c r="I7" s="715"/>
      <c r="J7" s="716"/>
    </row>
    <row r="8" spans="2:13" ht="33" customHeight="1" x14ac:dyDescent="0.2">
      <c r="B8" s="567" t="s">
        <v>465</v>
      </c>
      <c r="C8" s="569"/>
      <c r="D8" s="718" t="str">
        <f>Índex!D45</f>
        <v xml:space="preserve"> Vicedegana d'Afers Acadèmics de Grau</v>
      </c>
      <c r="E8" s="716"/>
      <c r="F8" s="567" t="s">
        <v>472</v>
      </c>
      <c r="G8" s="569"/>
      <c r="H8" s="718" t="str">
        <f>Índex!E45</f>
        <v>Gestora de Qualitat</v>
      </c>
      <c r="I8" s="715"/>
      <c r="J8" s="716"/>
    </row>
    <row r="9" spans="2:13" ht="45" customHeight="1" x14ac:dyDescent="0.2">
      <c r="B9" s="567" t="s">
        <v>461</v>
      </c>
      <c r="C9" s="569"/>
      <c r="D9" s="718" t="str">
        <f>Índex!G45</f>
        <v>PC3.04. Avaluació de l’Alumnat</v>
      </c>
      <c r="E9" s="716"/>
      <c r="F9" s="567" t="s">
        <v>467</v>
      </c>
      <c r="G9" s="569"/>
      <c r="H9" s="718" t="s">
        <v>555</v>
      </c>
      <c r="I9" s="715"/>
      <c r="J9" s="716"/>
    </row>
    <row r="10" spans="2:13" ht="7.5" customHeight="1" x14ac:dyDescent="0.2"/>
    <row r="11" spans="2:13" ht="22.5" customHeight="1" x14ac:dyDescent="0.2">
      <c r="B11" s="567" t="s">
        <v>468</v>
      </c>
      <c r="C11" s="568"/>
      <c r="D11" s="568"/>
      <c r="E11" s="568"/>
      <c r="F11" s="568"/>
      <c r="G11" s="568"/>
      <c r="H11" s="568"/>
      <c r="I11" s="568"/>
      <c r="J11" s="569"/>
    </row>
    <row r="12" spans="2:13" ht="22.5" customHeight="1" x14ac:dyDescent="0.2"/>
    <row r="13" spans="2:13" ht="22.5" customHeight="1" x14ac:dyDescent="0.2">
      <c r="B13" s="949"/>
      <c r="C13" s="949"/>
      <c r="D13" s="78" t="s">
        <v>201</v>
      </c>
      <c r="E13" s="78" t="s">
        <v>202</v>
      </c>
      <c r="F13" s="78" t="s">
        <v>203</v>
      </c>
      <c r="G13" s="78" t="s">
        <v>204</v>
      </c>
      <c r="H13" s="78" t="s">
        <v>205</v>
      </c>
      <c r="I13" s="78" t="s">
        <v>256</v>
      </c>
      <c r="K13" s="18"/>
      <c r="L13" s="18"/>
      <c r="M13" s="18"/>
    </row>
    <row r="14" spans="2:13" ht="22.5" customHeight="1" x14ac:dyDescent="0.2">
      <c r="B14" s="682" t="s">
        <v>218</v>
      </c>
      <c r="C14" s="682"/>
      <c r="D14" s="321">
        <f>(3.47+3.24)/2</f>
        <v>3.3550000000000004</v>
      </c>
      <c r="E14" s="321">
        <v>3.42</v>
      </c>
      <c r="F14" s="321">
        <f>(3.51+3.12)/2</f>
        <v>3.3149999999999999</v>
      </c>
      <c r="G14" s="321">
        <v>3.34</v>
      </c>
      <c r="H14" s="321">
        <v>3.28</v>
      </c>
      <c r="I14" s="321">
        <v>3.31</v>
      </c>
      <c r="K14" s="18"/>
      <c r="L14" s="18"/>
      <c r="M14" s="18"/>
    </row>
    <row r="15" spans="2:13" ht="30" customHeight="1" x14ac:dyDescent="0.2">
      <c r="B15" s="682" t="s">
        <v>219</v>
      </c>
      <c r="C15" s="665"/>
      <c r="D15" s="321" t="s">
        <v>264</v>
      </c>
      <c r="E15" s="321">
        <v>3.29</v>
      </c>
      <c r="F15" s="321" t="s">
        <v>213</v>
      </c>
      <c r="G15" s="321" t="s">
        <v>214</v>
      </c>
      <c r="H15" s="321" t="s">
        <v>213</v>
      </c>
      <c r="I15" s="321">
        <v>3.31</v>
      </c>
      <c r="K15" s="18"/>
      <c r="L15" s="18"/>
      <c r="M15" s="18"/>
    </row>
    <row r="16" spans="2:13" ht="22.5" customHeight="1" x14ac:dyDescent="0.2">
      <c r="B16" s="682" t="s">
        <v>220</v>
      </c>
      <c r="C16" s="665"/>
      <c r="D16" s="321">
        <f>(3.32+3.26)/2</f>
        <v>3.29</v>
      </c>
      <c r="E16" s="321">
        <v>3.21</v>
      </c>
      <c r="F16" s="321">
        <v>2.86</v>
      </c>
      <c r="G16" s="321">
        <v>3.53</v>
      </c>
      <c r="H16" s="321">
        <v>3.43</v>
      </c>
      <c r="I16" s="321">
        <v>3.26</v>
      </c>
      <c r="K16" s="18"/>
      <c r="L16" s="18"/>
      <c r="M16" s="18"/>
    </row>
    <row r="17" spans="2:17" ht="22.5" customHeight="1" x14ac:dyDescent="0.2">
      <c r="B17" s="682" t="s">
        <v>221</v>
      </c>
      <c r="C17" s="665"/>
      <c r="D17" s="321">
        <f>(3.4+3.53)/2</f>
        <v>3.4649999999999999</v>
      </c>
      <c r="E17" s="321">
        <v>3.42</v>
      </c>
      <c r="F17" s="321">
        <f>(3.51+3.33)/2</f>
        <v>3.42</v>
      </c>
      <c r="G17" s="321">
        <v>3.58</v>
      </c>
      <c r="H17" s="321">
        <v>3.55</v>
      </c>
      <c r="I17" s="321">
        <v>3.41</v>
      </c>
      <c r="K17" s="18"/>
      <c r="L17" s="18"/>
      <c r="M17" s="18"/>
    </row>
    <row r="18" spans="2:17" ht="22.5" customHeight="1" x14ac:dyDescent="0.2">
      <c r="B18" s="682" t="s">
        <v>222</v>
      </c>
      <c r="C18" s="665"/>
      <c r="D18" s="321" t="s">
        <v>264</v>
      </c>
      <c r="E18" s="321">
        <v>3.49</v>
      </c>
      <c r="F18" s="321">
        <f>(3.68+3.28)/2</f>
        <v>3.48</v>
      </c>
      <c r="G18" s="321">
        <v>3.67</v>
      </c>
      <c r="H18" s="321">
        <v>3.57</v>
      </c>
      <c r="I18" s="321">
        <v>3.56</v>
      </c>
    </row>
    <row r="19" spans="2:17" ht="22.5" customHeight="1" x14ac:dyDescent="0.2">
      <c r="B19" s="682" t="s">
        <v>223</v>
      </c>
      <c r="C19" s="665"/>
      <c r="D19" s="321" t="s">
        <v>264</v>
      </c>
      <c r="E19" s="321">
        <v>3.51</v>
      </c>
      <c r="F19" s="321">
        <f>(3.57+3.22)/2</f>
        <v>3.395</v>
      </c>
      <c r="G19" s="321">
        <v>3.33</v>
      </c>
      <c r="H19" s="321">
        <v>3.57</v>
      </c>
      <c r="I19" s="321">
        <v>3.536</v>
      </c>
      <c r="N19" s="567" t="s">
        <v>210</v>
      </c>
      <c r="O19" s="568"/>
      <c r="P19" s="568"/>
      <c r="Q19" s="569"/>
    </row>
    <row r="20" spans="2:17" ht="22.5" customHeight="1" x14ac:dyDescent="0.2">
      <c r="B20" s="682" t="s">
        <v>224</v>
      </c>
      <c r="C20" s="665"/>
      <c r="D20" s="321">
        <f>(3.19+3.16)/2</f>
        <v>3.1749999999999998</v>
      </c>
      <c r="E20" s="321">
        <v>3.15</v>
      </c>
      <c r="F20" s="321">
        <f>(3.21+3.15)/2</f>
        <v>3.1799999999999997</v>
      </c>
      <c r="G20" s="321">
        <v>3.35</v>
      </c>
      <c r="H20" s="321">
        <v>3.17</v>
      </c>
      <c r="I20" s="321">
        <v>3.22</v>
      </c>
      <c r="N20" s="9"/>
      <c r="O20" s="9"/>
      <c r="P20" s="9"/>
      <c r="Q20" s="9"/>
    </row>
    <row r="21" spans="2:17" ht="37.5" customHeight="1" x14ac:dyDescent="0.2">
      <c r="B21" s="682" t="s">
        <v>225</v>
      </c>
      <c r="C21" s="665"/>
      <c r="D21" s="321">
        <f>(3.58+3.4)/2</f>
        <v>3.49</v>
      </c>
      <c r="E21" s="321">
        <v>3.58</v>
      </c>
      <c r="F21" s="321">
        <f>(3.58+3.27)/2</f>
        <v>3.4249999999999998</v>
      </c>
      <c r="G21" s="321">
        <v>3.47</v>
      </c>
      <c r="H21" s="321">
        <v>3.37</v>
      </c>
      <c r="I21" s="321">
        <v>3.44</v>
      </c>
      <c r="N21" s="709" t="s">
        <v>373</v>
      </c>
      <c r="O21" s="571"/>
      <c r="P21" s="571"/>
      <c r="Q21" s="572"/>
    </row>
    <row r="22" spans="2:17" ht="28.5" customHeight="1" x14ac:dyDescent="0.2">
      <c r="B22" s="682" t="s">
        <v>226</v>
      </c>
      <c r="C22" s="665"/>
      <c r="D22" s="321">
        <f>(3.29+3.14)/2</f>
        <v>3.2149999999999999</v>
      </c>
      <c r="E22" s="321">
        <v>3.6</v>
      </c>
      <c r="F22" s="321">
        <f>(3.69+3.55)/2</f>
        <v>3.62</v>
      </c>
      <c r="G22" s="321">
        <v>3.62</v>
      </c>
      <c r="H22" s="321">
        <v>3.63</v>
      </c>
      <c r="I22" s="321">
        <v>3.68</v>
      </c>
      <c r="N22" s="573"/>
      <c r="O22" s="574"/>
      <c r="P22" s="574"/>
      <c r="Q22" s="575"/>
    </row>
    <row r="23" spans="2:17" ht="26.25" customHeight="1" x14ac:dyDescent="0.2">
      <c r="B23" s="682" t="s">
        <v>227</v>
      </c>
      <c r="C23" s="665"/>
      <c r="D23" s="321">
        <f>(3.29+3.44)/2</f>
        <v>3.3650000000000002</v>
      </c>
      <c r="E23" s="321">
        <v>3.48</v>
      </c>
      <c r="F23" s="321">
        <f>(3.48+3.2)/2</f>
        <v>3.34</v>
      </c>
      <c r="G23" s="321">
        <v>3.53</v>
      </c>
      <c r="H23" s="321">
        <v>3.61</v>
      </c>
      <c r="I23" s="321">
        <v>3.57</v>
      </c>
      <c r="N23" s="573"/>
      <c r="O23" s="574"/>
      <c r="P23" s="574"/>
      <c r="Q23" s="575"/>
    </row>
    <row r="24" spans="2:17" ht="29.25" customHeight="1" x14ac:dyDescent="0.2">
      <c r="B24" s="682" t="s">
        <v>228</v>
      </c>
      <c r="C24" s="665"/>
      <c r="D24" s="321">
        <f>(3.54+3.48)/2</f>
        <v>3.51</v>
      </c>
      <c r="E24" s="321">
        <v>3.51</v>
      </c>
      <c r="F24" s="321">
        <f>(3.24+3.65)/2</f>
        <v>3.4450000000000003</v>
      </c>
      <c r="G24" s="321">
        <v>3.56</v>
      </c>
      <c r="H24" s="321">
        <v>3.59</v>
      </c>
      <c r="I24" s="321">
        <v>3.55</v>
      </c>
      <c r="N24" s="573"/>
      <c r="O24" s="574"/>
      <c r="P24" s="574"/>
      <c r="Q24" s="575"/>
    </row>
    <row r="25" spans="2:17" ht="43.5" customHeight="1" x14ac:dyDescent="0.2">
      <c r="B25" s="682" t="s">
        <v>241</v>
      </c>
      <c r="C25" s="682"/>
      <c r="D25" s="321">
        <v>3.1</v>
      </c>
      <c r="E25" s="321">
        <v>3.23</v>
      </c>
      <c r="F25" s="321" t="s">
        <v>282</v>
      </c>
      <c r="G25" s="321">
        <v>3.7</v>
      </c>
      <c r="H25" s="321">
        <v>3.58</v>
      </c>
      <c r="I25" s="321">
        <v>3.36</v>
      </c>
      <c r="N25" s="573"/>
      <c r="O25" s="574"/>
      <c r="P25" s="574"/>
      <c r="Q25" s="575"/>
    </row>
    <row r="26" spans="2:17" ht="32.25" customHeight="1" x14ac:dyDescent="0.2">
      <c r="B26" s="682" t="s">
        <v>266</v>
      </c>
      <c r="C26" s="682"/>
      <c r="D26" s="321">
        <v>3.4</v>
      </c>
      <c r="E26" s="321">
        <v>3.2</v>
      </c>
      <c r="F26" s="321" t="s">
        <v>282</v>
      </c>
      <c r="G26" s="321">
        <v>3.35</v>
      </c>
      <c r="H26" s="321">
        <v>4</v>
      </c>
      <c r="I26" s="321">
        <v>3.62</v>
      </c>
      <c r="N26" s="573"/>
      <c r="O26" s="574"/>
      <c r="P26" s="574"/>
      <c r="Q26" s="575"/>
    </row>
    <row r="27" spans="2:17" ht="33.75" customHeight="1" x14ac:dyDescent="0.2">
      <c r="B27" s="682" t="s">
        <v>252</v>
      </c>
      <c r="C27" s="682"/>
      <c r="D27" s="321">
        <v>3.8</v>
      </c>
      <c r="E27" s="321">
        <v>3.56</v>
      </c>
      <c r="F27" s="321">
        <v>3.95</v>
      </c>
      <c r="G27" s="321">
        <v>3.67</v>
      </c>
      <c r="H27" s="321">
        <v>3.72</v>
      </c>
      <c r="I27" s="321">
        <v>2.75</v>
      </c>
      <c r="N27" s="573"/>
      <c r="O27" s="574"/>
      <c r="P27" s="574"/>
      <c r="Q27" s="575"/>
    </row>
    <row r="28" spans="2:17" ht="27.75" customHeight="1" x14ac:dyDescent="0.2">
      <c r="B28" s="682" t="s">
        <v>244</v>
      </c>
      <c r="C28" s="682"/>
      <c r="D28" s="321">
        <v>2.8</v>
      </c>
      <c r="E28" s="321">
        <v>3.52</v>
      </c>
      <c r="F28" s="321">
        <v>3.47</v>
      </c>
      <c r="G28" s="321" t="s">
        <v>213</v>
      </c>
      <c r="H28" s="321" t="s">
        <v>213</v>
      </c>
      <c r="I28" s="321" t="s">
        <v>213</v>
      </c>
      <c r="N28" s="573"/>
      <c r="O28" s="574"/>
      <c r="P28" s="574"/>
      <c r="Q28" s="575"/>
    </row>
    <row r="29" spans="2:17" ht="38.25" customHeight="1" x14ac:dyDescent="0.2">
      <c r="B29" s="682" t="s">
        <v>253</v>
      </c>
      <c r="C29" s="682"/>
      <c r="D29" s="321">
        <v>3.17</v>
      </c>
      <c r="E29" s="321">
        <v>3.17</v>
      </c>
      <c r="F29" s="321" t="s">
        <v>282</v>
      </c>
      <c r="G29" s="321">
        <v>2.2999999999999998</v>
      </c>
      <c r="H29" s="321">
        <v>3.11</v>
      </c>
      <c r="I29" s="321">
        <v>3.28</v>
      </c>
      <c r="N29" s="573"/>
      <c r="O29" s="574"/>
      <c r="P29" s="574"/>
      <c r="Q29" s="575"/>
    </row>
    <row r="30" spans="2:17" ht="22.5" customHeight="1" x14ac:dyDescent="0.2">
      <c r="B30" s="682" t="s">
        <v>245</v>
      </c>
      <c r="C30" s="682"/>
      <c r="D30" s="321">
        <v>3</v>
      </c>
      <c r="E30" s="321">
        <v>2.96</v>
      </c>
      <c r="F30" s="321" t="s">
        <v>282</v>
      </c>
      <c r="G30" s="321" t="s">
        <v>282</v>
      </c>
      <c r="H30" s="321" t="s">
        <v>213</v>
      </c>
      <c r="I30" s="321">
        <v>2.82</v>
      </c>
      <c r="N30" s="573"/>
      <c r="O30" s="574"/>
      <c r="P30" s="574"/>
      <c r="Q30" s="575"/>
    </row>
    <row r="31" spans="2:17" ht="43.5" customHeight="1" x14ac:dyDescent="0.2">
      <c r="B31" s="682" t="s">
        <v>254</v>
      </c>
      <c r="C31" s="682"/>
      <c r="D31" s="321">
        <v>3.13</v>
      </c>
      <c r="E31" s="321">
        <v>2.4700000000000002</v>
      </c>
      <c r="F31" s="321" t="s">
        <v>282</v>
      </c>
      <c r="G31" s="321" t="s">
        <v>282</v>
      </c>
      <c r="H31" s="321">
        <v>3.45</v>
      </c>
      <c r="I31" s="321">
        <v>3.47</v>
      </c>
      <c r="N31" s="573"/>
      <c r="O31" s="574"/>
      <c r="P31" s="574"/>
      <c r="Q31" s="575"/>
    </row>
    <row r="32" spans="2:17" ht="22.5" customHeight="1" x14ac:dyDescent="0.2">
      <c r="B32" s="909" t="str">
        <f>D5</f>
        <v>≥ 3</v>
      </c>
      <c r="C32" s="909"/>
      <c r="D32" s="201">
        <f t="shared" ref="D32:I32" si="0">COUNTIF(D14:D31,"&gt;="&amp;D34)</f>
        <v>14</v>
      </c>
      <c r="E32" s="201">
        <f t="shared" si="0"/>
        <v>16</v>
      </c>
      <c r="F32" s="201">
        <f t="shared" si="0"/>
        <v>11</v>
      </c>
      <c r="G32" s="201">
        <f t="shared" si="0"/>
        <v>13</v>
      </c>
      <c r="H32" s="201">
        <f t="shared" si="0"/>
        <v>15</v>
      </c>
      <c r="I32" s="201">
        <f t="shared" si="0"/>
        <v>15</v>
      </c>
      <c r="N32" s="573"/>
      <c r="O32" s="574"/>
      <c r="P32" s="574"/>
      <c r="Q32" s="575"/>
    </row>
    <row r="33" spans="2:17" ht="22.5" customHeight="1" x14ac:dyDescent="0.2">
      <c r="B33" s="734" t="s">
        <v>248</v>
      </c>
      <c r="C33" s="734"/>
      <c r="D33" s="45">
        <f t="shared" ref="D33:I33" si="1">COUNT(D14:D31)</f>
        <v>15</v>
      </c>
      <c r="E33" s="45">
        <f t="shared" si="1"/>
        <v>18</v>
      </c>
      <c r="F33" s="45">
        <f t="shared" si="1"/>
        <v>12</v>
      </c>
      <c r="G33" s="45">
        <f t="shared" si="1"/>
        <v>14</v>
      </c>
      <c r="H33" s="45">
        <f t="shared" si="1"/>
        <v>15</v>
      </c>
      <c r="I33" s="45">
        <f t="shared" si="1"/>
        <v>17</v>
      </c>
      <c r="N33" s="573"/>
      <c r="O33" s="574"/>
      <c r="P33" s="574"/>
      <c r="Q33" s="575"/>
    </row>
    <row r="34" spans="2:17" ht="22.5" customHeight="1" x14ac:dyDescent="0.2">
      <c r="B34" s="910" t="s">
        <v>207</v>
      </c>
      <c r="C34" s="911"/>
      <c r="D34" s="56">
        <v>3</v>
      </c>
      <c r="E34" s="56">
        <v>3</v>
      </c>
      <c r="F34" s="56">
        <v>3</v>
      </c>
      <c r="G34" s="56">
        <v>3</v>
      </c>
      <c r="H34" s="56">
        <v>3</v>
      </c>
      <c r="I34" s="56">
        <v>3</v>
      </c>
      <c r="N34" s="573"/>
      <c r="O34" s="574"/>
      <c r="P34" s="574"/>
      <c r="Q34" s="575"/>
    </row>
    <row r="35" spans="2:17" ht="22.5" customHeight="1" x14ac:dyDescent="0.2">
      <c r="B35" s="730" t="s">
        <v>208</v>
      </c>
      <c r="C35" s="787"/>
      <c r="D35" s="47">
        <f t="shared" ref="D35:I35" si="2">D32/D33</f>
        <v>0.93333333333333335</v>
      </c>
      <c r="E35" s="47">
        <f t="shared" si="2"/>
        <v>0.88888888888888884</v>
      </c>
      <c r="F35" s="47">
        <f t="shared" si="2"/>
        <v>0.91666666666666663</v>
      </c>
      <c r="G35" s="47">
        <f t="shared" si="2"/>
        <v>0.9285714285714286</v>
      </c>
      <c r="H35" s="47">
        <f t="shared" si="2"/>
        <v>1</v>
      </c>
      <c r="I35" s="47">
        <f t="shared" si="2"/>
        <v>0.88235294117647056</v>
      </c>
      <c r="N35" s="573"/>
      <c r="O35" s="574"/>
      <c r="P35" s="574"/>
      <c r="Q35" s="575"/>
    </row>
    <row r="36" spans="2:17" ht="22.5" customHeight="1" x14ac:dyDescent="0.25">
      <c r="B36" s="7"/>
      <c r="C36" s="7"/>
      <c r="D36" s="6"/>
      <c r="E36" s="6"/>
      <c r="F36" s="6"/>
      <c r="G36" s="6"/>
      <c r="H36" s="6"/>
      <c r="I36" s="6"/>
      <c r="J36" s="6"/>
      <c r="N36" s="576"/>
      <c r="O36" s="577"/>
      <c r="P36" s="577"/>
      <c r="Q36" s="578"/>
    </row>
    <row r="37" spans="2:17" ht="22.5" customHeight="1" x14ac:dyDescent="0.2">
      <c r="B37" s="567" t="s">
        <v>209</v>
      </c>
      <c r="C37" s="568"/>
      <c r="D37" s="568"/>
      <c r="E37" s="569"/>
      <c r="F37" s="8"/>
    </row>
    <row r="38" spans="2:17" ht="22.5" customHeight="1" x14ac:dyDescent="0.2">
      <c r="B38" s="8"/>
      <c r="C38" s="8"/>
      <c r="D38" s="8"/>
      <c r="E38" s="8"/>
      <c r="F38" s="8"/>
    </row>
    <row r="39" spans="2:17" ht="6" customHeight="1" x14ac:dyDescent="0.2">
      <c r="B39" s="8"/>
      <c r="C39" s="8"/>
      <c r="D39" s="8"/>
      <c r="E39" s="8"/>
      <c r="F39" s="8"/>
    </row>
    <row r="40" spans="2:17" ht="19.5" customHeight="1" x14ac:dyDescent="0.2">
      <c r="B40" s="8"/>
      <c r="C40" s="8"/>
      <c r="D40" s="8"/>
      <c r="E40" s="8"/>
      <c r="F40" s="8"/>
    </row>
    <row r="41" spans="2:17" ht="19.5" customHeight="1" x14ac:dyDescent="0.2">
      <c r="B41" s="8"/>
      <c r="C41" s="8"/>
      <c r="D41" s="8"/>
      <c r="E41" s="8"/>
      <c r="F41" s="8"/>
    </row>
    <row r="42" spans="2:17" ht="19.5" customHeight="1" x14ac:dyDescent="0.2">
      <c r="B42" s="8"/>
      <c r="C42" s="8"/>
      <c r="D42" s="8"/>
      <c r="E42" s="8"/>
      <c r="F42" s="8"/>
    </row>
    <row r="43" spans="2:17" ht="19.5" customHeight="1" x14ac:dyDescent="0.2">
      <c r="B43" s="8"/>
      <c r="C43" s="8"/>
      <c r="D43" s="8"/>
      <c r="E43" s="8"/>
      <c r="F43" s="8"/>
    </row>
    <row r="44" spans="2:17" ht="19.5" customHeight="1" x14ac:dyDescent="0.2">
      <c r="B44" s="8"/>
      <c r="C44" s="8"/>
      <c r="D44" s="8"/>
      <c r="E44" s="8"/>
      <c r="F44" s="8"/>
    </row>
    <row r="45" spans="2:17" ht="19.5" customHeight="1" x14ac:dyDescent="0.2">
      <c r="B45" s="8"/>
      <c r="C45" s="8"/>
      <c r="D45" s="8"/>
      <c r="E45" s="8"/>
      <c r="F45" s="8"/>
    </row>
    <row r="46" spans="2:17" ht="19.5" customHeight="1" x14ac:dyDescent="0.2">
      <c r="B46" s="8"/>
      <c r="C46" s="8"/>
      <c r="D46" s="8"/>
      <c r="E46" s="8"/>
      <c r="F46" s="8"/>
    </row>
    <row r="47" spans="2:17" ht="19.5" customHeight="1" x14ac:dyDescent="0.2">
      <c r="B47" s="8"/>
      <c r="C47" s="8"/>
      <c r="D47" s="8"/>
      <c r="E47" s="8"/>
      <c r="F47" s="8"/>
    </row>
    <row r="48" spans="2:17" ht="19.5" customHeight="1" x14ac:dyDescent="0.2"/>
    <row r="49" spans="8:10" ht="19.5" customHeight="1" x14ac:dyDescent="0.2">
      <c r="H49" s="559" t="s">
        <v>155</v>
      </c>
      <c r="I49" s="560"/>
      <c r="J49" s="560"/>
    </row>
  </sheetData>
  <sheetProtection formatCells="0" formatColumns="0" formatRows="0" insertColumns="0" insertRows="0" insertHyperlinks="0" deleteColumns="0" deleteRows="0" pivotTables="0"/>
  <mergeCells count="54">
    <mergeCell ref="N19:Q19"/>
    <mergeCell ref="B19:C19"/>
    <mergeCell ref="B14:C14"/>
    <mergeCell ref="B15:C15"/>
    <mergeCell ref="B13:C13"/>
    <mergeCell ref="B16:C16"/>
    <mergeCell ref="B17:C17"/>
    <mergeCell ref="B11:J11"/>
    <mergeCell ref="B9:C9"/>
    <mergeCell ref="B21:C21"/>
    <mergeCell ref="B8:C8"/>
    <mergeCell ref="D8:E8"/>
    <mergeCell ref="F8:G8"/>
    <mergeCell ref="H8:J8"/>
    <mergeCell ref="D9:E9"/>
    <mergeCell ref="F9:G9"/>
    <mergeCell ref="H9:J9"/>
    <mergeCell ref="B18:C18"/>
    <mergeCell ref="B20:C20"/>
    <mergeCell ref="B2:D2"/>
    <mergeCell ref="B5:C5"/>
    <mergeCell ref="D5:E5"/>
    <mergeCell ref="E2:J2"/>
    <mergeCell ref="B4:C4"/>
    <mergeCell ref="D4:E4"/>
    <mergeCell ref="F4:G4"/>
    <mergeCell ref="H4:J4"/>
    <mergeCell ref="F5:G5"/>
    <mergeCell ref="H5:J5"/>
    <mergeCell ref="N21:Q36"/>
    <mergeCell ref="B32:C32"/>
    <mergeCell ref="B22:C22"/>
    <mergeCell ref="B23:C23"/>
    <mergeCell ref="B24:C24"/>
    <mergeCell ref="B25:C25"/>
    <mergeCell ref="B26:C26"/>
    <mergeCell ref="B28:C28"/>
    <mergeCell ref="B29:C29"/>
    <mergeCell ref="B30:C30"/>
    <mergeCell ref="B31:C31"/>
    <mergeCell ref="H49:J49"/>
    <mergeCell ref="B33:C33"/>
    <mergeCell ref="B27:C27"/>
    <mergeCell ref="B35:C35"/>
    <mergeCell ref="B37:E37"/>
    <mergeCell ref="B34:C34"/>
    <mergeCell ref="B6:C6"/>
    <mergeCell ref="D6:E6"/>
    <mergeCell ref="F6:G6"/>
    <mergeCell ref="H6:J6"/>
    <mergeCell ref="H7:J7"/>
    <mergeCell ref="B7:C7"/>
    <mergeCell ref="D7:E7"/>
    <mergeCell ref="F7:G7"/>
  </mergeCells>
  <conditionalFormatting sqref="D14:I31">
    <cfRule type="cellIs" dxfId="26" priority="1" operator="lessThan">
      <formula>3</formula>
    </cfRule>
  </conditionalFormatting>
  <pageMargins left="0.7" right="0.7" top="0.75" bottom="0.75" header="0" footer="0"/>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1A2B7-855D-4944-9077-BCFF00D11537}">
  <sheetPr>
    <tabColor theme="9" tint="-0.499984740745262"/>
    <pageSetUpPr fitToPage="1"/>
  </sheetPr>
  <dimension ref="B2:S49"/>
  <sheetViews>
    <sheetView showGridLines="0" workbookViewId="0">
      <selection activeCell="H9" sqref="H9:J9"/>
    </sheetView>
  </sheetViews>
  <sheetFormatPr defaultColWidth="12.5703125" defaultRowHeight="15.75" customHeight="1" x14ac:dyDescent="0.2"/>
  <cols>
    <col min="1" max="1" width="3.42578125" customWidth="1"/>
    <col min="2" max="2" width="14.140625" customWidth="1"/>
    <col min="3" max="3" width="17.7109375" customWidth="1"/>
    <col min="4" max="4" width="17.28515625" customWidth="1"/>
    <col min="5" max="9" width="12.5703125" customWidth="1"/>
    <col min="10" max="10" width="15.57031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67.5" customHeight="1" x14ac:dyDescent="0.2">
      <c r="B4" s="567" t="s">
        <v>193</v>
      </c>
      <c r="C4" s="569"/>
      <c r="D4" s="718" t="str">
        <f>Índex!B46</f>
        <v>PC3.04_Ind03.</v>
      </c>
      <c r="E4" s="716"/>
      <c r="F4" s="567" t="s">
        <v>194</v>
      </c>
      <c r="G4" s="569"/>
      <c r="H4" s="718" t="str">
        <f>Índex!C46</f>
        <v>Valoració mitjana a l’afirmació “Els continguts de les proves i altres activitats d’avaluació es corresponen amb els continguts del curs i també amb el temps que el professorat va dedicar a cada tema</v>
      </c>
      <c r="I4" s="715"/>
      <c r="J4" s="716"/>
    </row>
    <row r="5" spans="2:10" ht="22.5" customHeight="1" x14ac:dyDescent="0.2">
      <c r="B5" s="567" t="s">
        <v>195</v>
      </c>
      <c r="C5" s="569"/>
      <c r="D5" s="718" t="str">
        <f>Índex!F46</f>
        <v>≥ 3</v>
      </c>
      <c r="E5" s="716"/>
      <c r="F5" s="567" t="s">
        <v>196</v>
      </c>
      <c r="G5" s="569"/>
      <c r="H5" s="718" t="s">
        <v>216</v>
      </c>
      <c r="I5" s="951"/>
      <c r="J5" s="952"/>
    </row>
    <row r="6" spans="2:10" ht="35.25" customHeight="1" x14ac:dyDescent="0.2">
      <c r="B6" s="567" t="s">
        <v>471</v>
      </c>
      <c r="C6" s="569"/>
      <c r="D6" s="718" t="str">
        <f>Índex!H46</f>
        <v>Objectiu de Qualitat. Grups d'interès</v>
      </c>
      <c r="E6" s="950"/>
      <c r="F6" s="567" t="s">
        <v>462</v>
      </c>
      <c r="G6" s="569"/>
      <c r="H6" s="718"/>
      <c r="I6" s="715"/>
      <c r="J6" s="716"/>
    </row>
    <row r="7" spans="2:10" ht="22.5" customHeight="1" x14ac:dyDescent="0.2">
      <c r="B7" s="567" t="s">
        <v>463</v>
      </c>
      <c r="C7" s="569"/>
      <c r="D7" s="718"/>
      <c r="E7" s="716"/>
      <c r="F7" s="567" t="s">
        <v>464</v>
      </c>
      <c r="G7" s="569"/>
      <c r="H7" s="718" t="s">
        <v>198</v>
      </c>
      <c r="I7" s="715"/>
      <c r="J7" s="716"/>
    </row>
    <row r="8" spans="2:10" ht="28.5" customHeight="1" x14ac:dyDescent="0.2">
      <c r="B8" s="567" t="s">
        <v>465</v>
      </c>
      <c r="C8" s="569"/>
      <c r="D8" s="718" t="str">
        <f>Índex!D46</f>
        <v xml:space="preserve"> Vicedegana d'Afers Acadèmics de Grau</v>
      </c>
      <c r="E8" s="716"/>
      <c r="F8" s="567" t="s">
        <v>472</v>
      </c>
      <c r="G8" s="569"/>
      <c r="H8" s="718" t="str">
        <f>Índex!E46</f>
        <v>Gestora de Qualitat</v>
      </c>
      <c r="I8" s="715"/>
      <c r="J8" s="716"/>
    </row>
    <row r="9" spans="2:10" ht="51.75" customHeight="1" x14ac:dyDescent="0.2">
      <c r="B9" s="567" t="s">
        <v>461</v>
      </c>
      <c r="C9" s="569"/>
      <c r="D9" s="718" t="str">
        <f>Índex!G46</f>
        <v>PC3.04. Avaluació de l’Alumnat</v>
      </c>
      <c r="E9" s="716"/>
      <c r="F9" s="567" t="s">
        <v>467</v>
      </c>
      <c r="G9" s="569"/>
      <c r="H9" s="718" t="s">
        <v>556</v>
      </c>
      <c r="I9" s="951"/>
      <c r="J9" s="952"/>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row r="13" spans="2:10" ht="22.5" customHeight="1" x14ac:dyDescent="0.2">
      <c r="D13" s="78" t="s">
        <v>200</v>
      </c>
      <c r="E13" s="78" t="s">
        <v>201</v>
      </c>
      <c r="F13" s="78" t="s">
        <v>202</v>
      </c>
      <c r="G13" s="78" t="s">
        <v>203</v>
      </c>
      <c r="H13" s="78" t="s">
        <v>204</v>
      </c>
      <c r="I13" s="78" t="s">
        <v>205</v>
      </c>
      <c r="J13" s="78" t="s">
        <v>256</v>
      </c>
    </row>
    <row r="14" spans="2:10" ht="22.5" customHeight="1" x14ac:dyDescent="0.2">
      <c r="B14" s="682" t="s">
        <v>218</v>
      </c>
      <c r="C14" s="682"/>
      <c r="D14" s="28">
        <f>(2.63+2.82)/2</f>
        <v>2.7249999999999996</v>
      </c>
      <c r="E14" s="28">
        <f>(2.98+2.88)/2</f>
        <v>2.9299999999999997</v>
      </c>
      <c r="F14" s="28">
        <v>3.05</v>
      </c>
      <c r="G14" s="28">
        <f>(3.05+2.76)/2</f>
        <v>2.9049999999999998</v>
      </c>
      <c r="H14" s="28">
        <v>3.05</v>
      </c>
      <c r="I14" s="28">
        <v>3.05</v>
      </c>
      <c r="J14" s="28">
        <v>3.1</v>
      </c>
    </row>
    <row r="15" spans="2:10" ht="44.25" customHeight="1" x14ac:dyDescent="0.2">
      <c r="B15" s="682" t="s">
        <v>219</v>
      </c>
      <c r="C15" s="682"/>
      <c r="D15" s="28" t="s">
        <v>264</v>
      </c>
      <c r="E15" s="28" t="s">
        <v>264</v>
      </c>
      <c r="F15" s="28">
        <v>2.94</v>
      </c>
      <c r="G15" s="28" t="s">
        <v>213</v>
      </c>
      <c r="H15" s="28" t="s">
        <v>213</v>
      </c>
      <c r="I15" s="28" t="s">
        <v>213</v>
      </c>
      <c r="J15" s="28">
        <v>2.97</v>
      </c>
    </row>
    <row r="16" spans="2:10" ht="22.5" customHeight="1" x14ac:dyDescent="0.2">
      <c r="B16" s="682" t="s">
        <v>220</v>
      </c>
      <c r="C16" s="682"/>
      <c r="D16" s="28">
        <f>(2.75+2.96)/2</f>
        <v>2.855</v>
      </c>
      <c r="E16" s="28">
        <f>(3.02+2.96)/2</f>
        <v>2.99</v>
      </c>
      <c r="F16" s="28">
        <v>3.07</v>
      </c>
      <c r="G16" s="28">
        <v>2.33</v>
      </c>
      <c r="H16" s="28">
        <v>3.05</v>
      </c>
      <c r="I16" s="28">
        <v>3.08</v>
      </c>
      <c r="J16" s="28">
        <v>2.83</v>
      </c>
    </row>
    <row r="17" spans="2:19" ht="22.5" customHeight="1" x14ac:dyDescent="0.2">
      <c r="B17" s="682" t="s">
        <v>221</v>
      </c>
      <c r="C17" s="682"/>
      <c r="D17" s="28">
        <f>(2.48+2.8)/2</f>
        <v>2.6399999999999997</v>
      </c>
      <c r="E17" s="28">
        <f>(2.94+2.98)/2</f>
        <v>2.96</v>
      </c>
      <c r="F17" s="28">
        <v>2.67</v>
      </c>
      <c r="G17" s="28">
        <f>(2.92+3.08)/2</f>
        <v>3</v>
      </c>
      <c r="H17" s="28">
        <v>3.08</v>
      </c>
      <c r="I17" s="28">
        <v>2.97</v>
      </c>
      <c r="J17" s="28">
        <v>2.78</v>
      </c>
    </row>
    <row r="18" spans="2:19" ht="22.5" customHeight="1" x14ac:dyDescent="0.2">
      <c r="B18" s="682" t="s">
        <v>222</v>
      </c>
      <c r="C18" s="682"/>
      <c r="D18" s="28" t="s">
        <v>264</v>
      </c>
      <c r="E18" s="28" t="s">
        <v>264</v>
      </c>
      <c r="F18" s="28">
        <v>2.82</v>
      </c>
      <c r="G18" s="28">
        <f>(3.19+2.98)/2</f>
        <v>3.085</v>
      </c>
      <c r="H18" s="28">
        <v>2.94</v>
      </c>
      <c r="I18" s="28">
        <v>2.79</v>
      </c>
      <c r="J18" s="28">
        <v>2.95</v>
      </c>
    </row>
    <row r="19" spans="2:19" ht="22.5" customHeight="1" x14ac:dyDescent="0.2">
      <c r="B19" s="682" t="s">
        <v>223</v>
      </c>
      <c r="C19" s="682"/>
      <c r="D19" s="28" t="s">
        <v>264</v>
      </c>
      <c r="E19" s="28" t="s">
        <v>264</v>
      </c>
      <c r="F19" s="28">
        <v>2.89</v>
      </c>
      <c r="G19" s="28">
        <f>(3.15+2.38)/2</f>
        <v>2.7649999999999997</v>
      </c>
      <c r="H19" s="28">
        <v>2.76</v>
      </c>
      <c r="I19" s="28">
        <v>2.79</v>
      </c>
      <c r="J19" s="28">
        <v>2.81</v>
      </c>
      <c r="K19" s="18"/>
      <c r="L19" s="18"/>
      <c r="M19" s="18"/>
    </row>
    <row r="20" spans="2:19" ht="22.5" customHeight="1" x14ac:dyDescent="0.2">
      <c r="B20" s="682" t="s">
        <v>224</v>
      </c>
      <c r="C20" s="682"/>
      <c r="D20" s="28">
        <f>(2.81+2.55)/2</f>
        <v>2.6799999999999997</v>
      </c>
      <c r="E20" s="28">
        <f>(2.56+2.81)/2</f>
        <v>2.6850000000000001</v>
      </c>
      <c r="F20" s="28">
        <v>2.81</v>
      </c>
      <c r="G20" s="28">
        <f>(2.9+2.92)/2</f>
        <v>2.91</v>
      </c>
      <c r="H20" s="28">
        <v>3.15</v>
      </c>
      <c r="I20" s="28">
        <v>2.95</v>
      </c>
      <c r="J20" s="28">
        <v>2.97</v>
      </c>
      <c r="K20" s="18"/>
      <c r="L20" s="18"/>
      <c r="M20" s="18"/>
    </row>
    <row r="21" spans="2:19" ht="33" customHeight="1" x14ac:dyDescent="0.2">
      <c r="B21" s="682" t="s">
        <v>225</v>
      </c>
      <c r="C21" s="682"/>
      <c r="D21" s="28" t="s">
        <v>213</v>
      </c>
      <c r="E21" s="28">
        <f>(3.24+3.13)/2</f>
        <v>3.1850000000000001</v>
      </c>
      <c r="F21" s="28">
        <v>3.43</v>
      </c>
      <c r="G21" s="28">
        <f>(3.25+2.89)/2</f>
        <v>3.0700000000000003</v>
      </c>
      <c r="H21" s="28">
        <v>3.09</v>
      </c>
      <c r="I21" s="28">
        <v>3.05</v>
      </c>
      <c r="J21" s="28">
        <v>3.21</v>
      </c>
      <c r="K21" s="18"/>
      <c r="L21" s="18"/>
      <c r="M21" s="18"/>
    </row>
    <row r="22" spans="2:19" ht="22.5" customHeight="1" x14ac:dyDescent="0.2">
      <c r="B22" s="682" t="s">
        <v>226</v>
      </c>
      <c r="C22" s="682"/>
      <c r="D22" s="28">
        <f>(2.88+2.78)/2</f>
        <v>2.83</v>
      </c>
      <c r="E22" s="28">
        <f>(2.98+3.2)/2</f>
        <v>3.09</v>
      </c>
      <c r="F22" s="28">
        <v>3.05</v>
      </c>
      <c r="G22" s="28">
        <f>(3.35+3.12)/2</f>
        <v>3.2350000000000003</v>
      </c>
      <c r="H22" s="28">
        <v>3.05</v>
      </c>
      <c r="I22" s="28">
        <v>3.27</v>
      </c>
      <c r="J22" s="28">
        <v>3.09</v>
      </c>
      <c r="K22" s="18"/>
      <c r="L22" s="18"/>
      <c r="M22" s="18"/>
    </row>
    <row r="23" spans="2:19" ht="33" customHeight="1" x14ac:dyDescent="0.2">
      <c r="B23" s="682" t="s">
        <v>227</v>
      </c>
      <c r="C23" s="682"/>
      <c r="D23" s="28">
        <f>(2.74+2.82)/2</f>
        <v>2.7800000000000002</v>
      </c>
      <c r="E23" s="28">
        <f>(3.02+2.95)/2</f>
        <v>2.9850000000000003</v>
      </c>
      <c r="F23" s="28">
        <v>2.97</v>
      </c>
      <c r="G23" s="28">
        <f>(3.11+2.75)/2</f>
        <v>2.9299999999999997</v>
      </c>
      <c r="H23" s="28">
        <v>3.2</v>
      </c>
      <c r="I23" s="28">
        <v>3.22</v>
      </c>
      <c r="J23" s="28">
        <v>3.16</v>
      </c>
      <c r="K23" s="18"/>
      <c r="L23" s="18"/>
      <c r="M23" s="18"/>
    </row>
    <row r="24" spans="2:19" ht="33" customHeight="1" x14ac:dyDescent="0.2">
      <c r="B24" s="682" t="s">
        <v>228</v>
      </c>
      <c r="C24" s="682"/>
      <c r="D24" s="28">
        <f>(2.58+2.88)/2</f>
        <v>2.73</v>
      </c>
      <c r="E24" s="28">
        <v>3.11</v>
      </c>
      <c r="F24" s="28">
        <v>3.09</v>
      </c>
      <c r="G24" s="28">
        <f>(2.94+3.04)/2</f>
        <v>2.99</v>
      </c>
      <c r="H24" s="28">
        <v>3.11</v>
      </c>
      <c r="I24" s="28" t="s">
        <v>213</v>
      </c>
      <c r="J24" s="28">
        <v>3.14</v>
      </c>
      <c r="K24" s="18"/>
      <c r="L24" s="18"/>
      <c r="M24" s="18"/>
    </row>
    <row r="25" spans="2:19" ht="51.75" customHeight="1" x14ac:dyDescent="0.2">
      <c r="B25" s="682" t="s">
        <v>241</v>
      </c>
      <c r="C25" s="682"/>
      <c r="D25" s="28">
        <f>(3.44+2.33)/2</f>
        <v>2.8849999999999998</v>
      </c>
      <c r="E25" s="28">
        <f>(3.33+2.86)/2</f>
        <v>3.0949999999999998</v>
      </c>
      <c r="F25" s="28">
        <v>2.95</v>
      </c>
      <c r="G25" s="28" t="s">
        <v>264</v>
      </c>
      <c r="H25" s="28">
        <v>3.48</v>
      </c>
      <c r="I25" s="28">
        <v>3.37</v>
      </c>
      <c r="J25" s="28">
        <v>3.2</v>
      </c>
      <c r="K25" s="18"/>
      <c r="L25" s="18"/>
      <c r="M25" s="18"/>
    </row>
    <row r="26" spans="2:19" ht="36.75" customHeight="1" x14ac:dyDescent="0.2">
      <c r="B26" s="682" t="s">
        <v>266</v>
      </c>
      <c r="C26" s="682"/>
      <c r="D26" s="28">
        <v>3.45</v>
      </c>
      <c r="E26" s="28">
        <f>(2.76+3.3)/2</f>
        <v>3.03</v>
      </c>
      <c r="F26" s="28">
        <v>2.87</v>
      </c>
      <c r="G26" s="28">
        <v>3.21</v>
      </c>
      <c r="H26" s="28">
        <v>2.56</v>
      </c>
      <c r="I26" s="28">
        <v>4</v>
      </c>
      <c r="J26" s="28">
        <v>3.1</v>
      </c>
      <c r="K26" s="18"/>
      <c r="L26" s="18"/>
      <c r="M26" s="18"/>
    </row>
    <row r="27" spans="2:19" ht="27.75" customHeight="1" x14ac:dyDescent="0.2">
      <c r="B27" s="682" t="s">
        <v>252</v>
      </c>
      <c r="C27" s="682"/>
      <c r="D27" s="28">
        <f>(1.88+3.13)/2</f>
        <v>2.5049999999999999</v>
      </c>
      <c r="E27" s="28">
        <f>(3.55+3.17)/2</f>
        <v>3.36</v>
      </c>
      <c r="F27" s="28">
        <v>3.39</v>
      </c>
      <c r="G27" s="28">
        <f>(4+3.42)/2</f>
        <v>3.71</v>
      </c>
      <c r="H27" s="28">
        <v>3.5</v>
      </c>
      <c r="I27" s="28">
        <v>3.55</v>
      </c>
      <c r="J27" s="28">
        <v>3.38</v>
      </c>
      <c r="K27" s="18"/>
      <c r="L27" s="18"/>
      <c r="M27" s="18"/>
    </row>
    <row r="28" spans="2:19" ht="27.75" customHeight="1" x14ac:dyDescent="0.2">
      <c r="B28" s="682" t="s">
        <v>244</v>
      </c>
      <c r="C28" s="682"/>
      <c r="D28" s="28" t="s">
        <v>264</v>
      </c>
      <c r="E28" s="28">
        <v>2.8</v>
      </c>
      <c r="F28" s="28">
        <v>3.32</v>
      </c>
      <c r="G28" s="28">
        <v>2.83</v>
      </c>
      <c r="H28" s="28" t="s">
        <v>213</v>
      </c>
      <c r="I28" s="28" t="s">
        <v>213</v>
      </c>
      <c r="J28" s="28" t="s">
        <v>213</v>
      </c>
      <c r="K28" s="18"/>
      <c r="L28" s="18"/>
      <c r="M28" s="18"/>
    </row>
    <row r="29" spans="2:19" ht="25.5" customHeight="1" x14ac:dyDescent="0.2">
      <c r="B29" s="682" t="s">
        <v>253</v>
      </c>
      <c r="C29" s="682"/>
      <c r="D29" s="28" t="s">
        <v>264</v>
      </c>
      <c r="E29" s="28">
        <f>(2.86+2.5)/2</f>
        <v>2.6799999999999997</v>
      </c>
      <c r="F29" s="28">
        <v>3.04</v>
      </c>
      <c r="G29" s="28" t="s">
        <v>213</v>
      </c>
      <c r="H29" s="28">
        <v>2.4</v>
      </c>
      <c r="I29" s="28">
        <v>3.01</v>
      </c>
      <c r="J29" s="28">
        <v>2.66</v>
      </c>
      <c r="P29" s="346" t="s">
        <v>470</v>
      </c>
      <c r="Q29" s="347"/>
      <c r="R29" s="347"/>
      <c r="S29" s="348"/>
    </row>
    <row r="30" spans="2:19" ht="25.5" customHeight="1" x14ac:dyDescent="0.2">
      <c r="B30" s="682" t="s">
        <v>245</v>
      </c>
      <c r="C30" s="682"/>
      <c r="D30" s="28" t="s">
        <v>264</v>
      </c>
      <c r="E30" s="28">
        <v>3.6</v>
      </c>
      <c r="F30" s="28">
        <v>3.25</v>
      </c>
      <c r="G30" s="28" t="s">
        <v>213</v>
      </c>
      <c r="H30" s="28" t="s">
        <v>213</v>
      </c>
      <c r="I30" s="28" t="s">
        <v>213</v>
      </c>
      <c r="J30" s="28">
        <v>2.75</v>
      </c>
      <c r="P30" s="667" t="s">
        <v>373</v>
      </c>
      <c r="Q30" s="667"/>
      <c r="R30" s="667"/>
      <c r="S30" s="667"/>
    </row>
    <row r="31" spans="2:19" ht="42" customHeight="1" x14ac:dyDescent="0.2">
      <c r="B31" s="682" t="s">
        <v>254</v>
      </c>
      <c r="C31" s="682"/>
      <c r="D31" s="28">
        <f>(3+2.89)/2</f>
        <v>2.9450000000000003</v>
      </c>
      <c r="E31" s="28">
        <f>(3.02+2.95)/2</f>
        <v>2.9850000000000003</v>
      </c>
      <c r="F31" s="28">
        <v>2.74</v>
      </c>
      <c r="G31" s="28" t="s">
        <v>213</v>
      </c>
      <c r="H31" s="28" t="s">
        <v>213</v>
      </c>
      <c r="I31" s="28">
        <v>3.04</v>
      </c>
      <c r="J31" s="28">
        <v>3.58</v>
      </c>
      <c r="P31" s="667"/>
      <c r="Q31" s="667"/>
      <c r="R31" s="667"/>
      <c r="S31" s="667"/>
    </row>
    <row r="32" spans="2:19" ht="22.5" customHeight="1" x14ac:dyDescent="0.2">
      <c r="B32" s="909" t="str">
        <f>D5</f>
        <v>≥ 3</v>
      </c>
      <c r="C32" s="909"/>
      <c r="D32" s="46">
        <f t="shared" ref="D32:J32" si="0">COUNTIF(D14:D31,"&gt;="&amp;D34)</f>
        <v>1</v>
      </c>
      <c r="E32" s="46">
        <f t="shared" si="0"/>
        <v>7</v>
      </c>
      <c r="F32" s="46">
        <f t="shared" si="0"/>
        <v>9</v>
      </c>
      <c r="G32" s="46">
        <f t="shared" si="0"/>
        <v>6</v>
      </c>
      <c r="H32" s="46">
        <f t="shared" si="0"/>
        <v>10</v>
      </c>
      <c r="I32" s="46">
        <f t="shared" si="0"/>
        <v>10</v>
      </c>
      <c r="J32" s="46">
        <f t="shared" si="0"/>
        <v>9</v>
      </c>
      <c r="P32" s="667"/>
      <c r="Q32" s="667"/>
      <c r="R32" s="667"/>
      <c r="S32" s="667"/>
    </row>
    <row r="33" spans="2:19" ht="22.5" customHeight="1" x14ac:dyDescent="0.2">
      <c r="B33" s="734" t="s">
        <v>248</v>
      </c>
      <c r="C33" s="734"/>
      <c r="D33" s="46">
        <f t="shared" ref="D33:J33" si="1">COUNT(D14:D31)</f>
        <v>11</v>
      </c>
      <c r="E33" s="46">
        <f t="shared" si="1"/>
        <v>15</v>
      </c>
      <c r="F33" s="46">
        <f t="shared" si="1"/>
        <v>18</v>
      </c>
      <c r="G33" s="46">
        <f t="shared" si="1"/>
        <v>13</v>
      </c>
      <c r="H33" s="46">
        <f t="shared" si="1"/>
        <v>14</v>
      </c>
      <c r="I33" s="46">
        <f t="shared" si="1"/>
        <v>14</v>
      </c>
      <c r="J33" s="46">
        <f t="shared" si="1"/>
        <v>17</v>
      </c>
      <c r="P33" s="667"/>
      <c r="Q33" s="667"/>
      <c r="R33" s="667"/>
      <c r="S33" s="667"/>
    </row>
    <row r="34" spans="2:19" ht="22.5" customHeight="1" x14ac:dyDescent="0.2">
      <c r="B34" s="910" t="s">
        <v>207</v>
      </c>
      <c r="C34" s="911"/>
      <c r="D34" s="56">
        <v>3</v>
      </c>
      <c r="E34" s="56">
        <v>3</v>
      </c>
      <c r="F34" s="56">
        <v>3</v>
      </c>
      <c r="G34" s="56">
        <v>3</v>
      </c>
      <c r="H34" s="56">
        <v>3</v>
      </c>
      <c r="I34" s="56">
        <v>3</v>
      </c>
      <c r="J34" s="56">
        <v>3</v>
      </c>
      <c r="P34" s="667"/>
      <c r="Q34" s="667"/>
      <c r="R34" s="667"/>
      <c r="S34" s="667"/>
    </row>
    <row r="35" spans="2:19" ht="22.5" customHeight="1" x14ac:dyDescent="0.2">
      <c r="B35" s="730" t="s">
        <v>208</v>
      </c>
      <c r="C35" s="787"/>
      <c r="D35" s="47">
        <f t="shared" ref="D35:J35" si="2">D32/D33</f>
        <v>9.0909090909090912E-2</v>
      </c>
      <c r="E35" s="47">
        <f t="shared" si="2"/>
        <v>0.46666666666666667</v>
      </c>
      <c r="F35" s="47">
        <f t="shared" si="2"/>
        <v>0.5</v>
      </c>
      <c r="G35" s="47">
        <f t="shared" si="2"/>
        <v>0.46153846153846156</v>
      </c>
      <c r="H35" s="47">
        <f t="shared" si="2"/>
        <v>0.7142857142857143</v>
      </c>
      <c r="I35" s="47">
        <f t="shared" si="2"/>
        <v>0.7142857142857143</v>
      </c>
      <c r="J35" s="47">
        <f t="shared" si="2"/>
        <v>0.52941176470588236</v>
      </c>
      <c r="P35" s="667"/>
      <c r="Q35" s="667"/>
      <c r="R35" s="667"/>
      <c r="S35" s="667"/>
    </row>
    <row r="36" spans="2:19" ht="22.5" customHeight="1" x14ac:dyDescent="0.25">
      <c r="B36" s="7"/>
      <c r="C36" s="7"/>
      <c r="D36" s="6"/>
      <c r="E36" s="6"/>
      <c r="F36" s="6"/>
      <c r="G36" s="6"/>
      <c r="H36" s="6"/>
      <c r="I36" s="6"/>
      <c r="P36" s="667"/>
      <c r="Q36" s="667"/>
      <c r="R36" s="667"/>
      <c r="S36" s="667"/>
    </row>
    <row r="37" spans="2:19" ht="22.5" customHeight="1" x14ac:dyDescent="0.2">
      <c r="B37" s="567" t="s">
        <v>469</v>
      </c>
      <c r="C37" s="568"/>
      <c r="D37" s="568"/>
      <c r="E37" s="569"/>
      <c r="F37" s="8"/>
      <c r="P37" s="667"/>
      <c r="Q37" s="667"/>
      <c r="R37" s="667"/>
      <c r="S37" s="667"/>
    </row>
    <row r="38" spans="2:19" ht="22.5" customHeight="1" x14ac:dyDescent="0.2">
      <c r="B38" s="8"/>
      <c r="C38" s="8"/>
      <c r="D38" s="8"/>
      <c r="E38" s="8"/>
      <c r="F38" s="8"/>
      <c r="P38" s="667"/>
      <c r="Q38" s="667"/>
      <c r="R38" s="667"/>
      <c r="S38" s="667"/>
    </row>
    <row r="39" spans="2:19" ht="6" customHeight="1" x14ac:dyDescent="0.2">
      <c r="B39" s="8"/>
      <c r="C39" s="8"/>
      <c r="D39" s="8"/>
      <c r="E39" s="8"/>
      <c r="F39" s="8"/>
    </row>
    <row r="40" spans="2:19" ht="19.5" customHeight="1" x14ac:dyDescent="0.2">
      <c r="B40" s="8"/>
      <c r="C40" s="8"/>
      <c r="D40" s="8"/>
      <c r="E40" s="8"/>
      <c r="F40" s="8"/>
    </row>
    <row r="41" spans="2:19" ht="19.5" customHeight="1" x14ac:dyDescent="0.2">
      <c r="B41" s="8"/>
      <c r="C41" s="8"/>
      <c r="D41" s="8"/>
      <c r="E41" s="8"/>
      <c r="F41" s="8"/>
    </row>
    <row r="42" spans="2:19" ht="19.5" customHeight="1" x14ac:dyDescent="0.2">
      <c r="B42" s="8"/>
      <c r="C42" s="8"/>
      <c r="D42" s="8"/>
      <c r="E42" s="8"/>
      <c r="F42" s="8"/>
    </row>
    <row r="43" spans="2:19" ht="19.5" customHeight="1" x14ac:dyDescent="0.2">
      <c r="B43" s="8"/>
      <c r="C43" s="8"/>
      <c r="D43" s="8"/>
      <c r="E43" s="8"/>
      <c r="F43" s="8"/>
    </row>
    <row r="44" spans="2:19" ht="19.5" customHeight="1" x14ac:dyDescent="0.2">
      <c r="B44" s="8"/>
      <c r="C44" s="8"/>
      <c r="D44" s="8"/>
      <c r="E44" s="8"/>
      <c r="F44" s="8"/>
    </row>
    <row r="45" spans="2:19" ht="19.5" customHeight="1" x14ac:dyDescent="0.2">
      <c r="B45" s="8"/>
      <c r="C45" s="8"/>
      <c r="D45" s="8"/>
      <c r="E45" s="8"/>
      <c r="F45" s="8"/>
    </row>
    <row r="46" spans="2:19" ht="19.5" customHeight="1" x14ac:dyDescent="0.2">
      <c r="B46" s="8"/>
      <c r="C46" s="8"/>
      <c r="D46" s="8"/>
      <c r="E46" s="8"/>
      <c r="F46" s="8"/>
    </row>
    <row r="47" spans="2:19" ht="19.5" customHeight="1" x14ac:dyDescent="0.2">
      <c r="B47" s="8"/>
      <c r="C47" s="8"/>
      <c r="D47" s="8"/>
      <c r="E47" s="8"/>
      <c r="F47" s="8"/>
    </row>
    <row r="48" spans="2:19" ht="19.5" customHeight="1" x14ac:dyDescent="0.2"/>
    <row r="49" spans="8:10" ht="19.5" customHeight="1" x14ac:dyDescent="0.2">
      <c r="H49" s="559" t="s">
        <v>155</v>
      </c>
      <c r="I49" s="560"/>
      <c r="J49" s="560"/>
    </row>
  </sheetData>
  <sheetProtection formatCells="0" formatColumns="0" formatRows="0" insertColumns="0" insertRows="0" insertHyperlinks="0" deleteColumns="0" deleteRows="0" pivotTables="0"/>
  <mergeCells count="52">
    <mergeCell ref="B23:C23"/>
    <mergeCell ref="H49:J49"/>
    <mergeCell ref="B25:C25"/>
    <mergeCell ref="B26:C26"/>
    <mergeCell ref="B27:C27"/>
    <mergeCell ref="B28:C28"/>
    <mergeCell ref="B29:C29"/>
    <mergeCell ref="B30:C30"/>
    <mergeCell ref="B31:C31"/>
    <mergeCell ref="B32:C32"/>
    <mergeCell ref="B33:C33"/>
    <mergeCell ref="B35:C35"/>
    <mergeCell ref="B37:E37"/>
    <mergeCell ref="H5:J5"/>
    <mergeCell ref="B7:C7"/>
    <mergeCell ref="D7:E7"/>
    <mergeCell ref="F7:G7"/>
    <mergeCell ref="H8:J8"/>
    <mergeCell ref="B5:C5"/>
    <mergeCell ref="D5:E5"/>
    <mergeCell ref="F5:G5"/>
    <mergeCell ref="H9:J9"/>
    <mergeCell ref="B20:C20"/>
    <mergeCell ref="B21:C21"/>
    <mergeCell ref="B22:C22"/>
    <mergeCell ref="B9:C9"/>
    <mergeCell ref="B11:J11"/>
    <mergeCell ref="B14:C14"/>
    <mergeCell ref="B18:C18"/>
    <mergeCell ref="B19:C19"/>
    <mergeCell ref="B2:D2"/>
    <mergeCell ref="E2:J2"/>
    <mergeCell ref="B4:C4"/>
    <mergeCell ref="D4:E4"/>
    <mergeCell ref="F4:G4"/>
    <mergeCell ref="H4:J4"/>
    <mergeCell ref="P30:S38"/>
    <mergeCell ref="B24:C24"/>
    <mergeCell ref="B34:C34"/>
    <mergeCell ref="B6:C6"/>
    <mergeCell ref="D6:E6"/>
    <mergeCell ref="F6:G6"/>
    <mergeCell ref="B8:C8"/>
    <mergeCell ref="D8:E8"/>
    <mergeCell ref="F8:G8"/>
    <mergeCell ref="D9:E9"/>
    <mergeCell ref="F9:G9"/>
    <mergeCell ref="B15:C15"/>
    <mergeCell ref="B16:C16"/>
    <mergeCell ref="B17:C17"/>
    <mergeCell ref="H6:J6"/>
    <mergeCell ref="H7:J7"/>
  </mergeCells>
  <phoneticPr fontId="25" type="noConversion"/>
  <conditionalFormatting sqref="D14:J31">
    <cfRule type="cellIs" dxfId="25" priority="1" operator="lessThan">
      <formula>3</formula>
    </cfRule>
  </conditionalFormatting>
  <pageMargins left="0.7" right="0.7" top="0.75" bottom="0.75" header="0" footer="0"/>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FC94E-E75C-413B-B488-0F3A0F724A0F}">
  <sheetPr>
    <tabColor theme="9" tint="-0.499984740745262"/>
    <pageSetUpPr fitToPage="1"/>
  </sheetPr>
  <dimension ref="B2:N34"/>
  <sheetViews>
    <sheetView showGridLines="0" zoomScale="110" zoomScaleNormal="110" zoomScaleSheetLayoutView="110" workbookViewId="0">
      <selection activeCell="H9" sqref="H9:J9"/>
    </sheetView>
  </sheetViews>
  <sheetFormatPr defaultColWidth="12.5703125" defaultRowHeight="15.75" customHeight="1" x14ac:dyDescent="0.2"/>
  <cols>
    <col min="1" max="1" width="3.42578125" customWidth="1"/>
    <col min="2" max="2" width="16.7109375" bestFit="1" customWidth="1"/>
    <col min="3" max="3" width="16.85546875" customWidth="1"/>
    <col min="4" max="4" width="17.28515625" bestFit="1" customWidth="1"/>
    <col min="5" max="5" width="12.5703125" customWidth="1"/>
    <col min="6" max="6" width="16.7109375" customWidth="1"/>
    <col min="7" max="9" width="12.5703125" customWidth="1"/>
    <col min="10" max="10" width="36.2851562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917" t="s">
        <v>193</v>
      </c>
      <c r="C4" s="789"/>
      <c r="D4" s="786" t="str">
        <f>Índex!B47</f>
        <v>PC3.05_Ind01.</v>
      </c>
      <c r="E4" s="787"/>
      <c r="F4" s="917" t="s">
        <v>194</v>
      </c>
      <c r="G4" s="789"/>
      <c r="H4" s="786" t="str">
        <f>Índex!C47</f>
        <v>Nombre de persones inscrites a les Jornades de Portes Obertes</v>
      </c>
      <c r="I4" s="787"/>
      <c r="J4" s="787"/>
    </row>
    <row r="5" spans="2:10" ht="22.5" customHeight="1" x14ac:dyDescent="0.2">
      <c r="B5" s="917" t="s">
        <v>195</v>
      </c>
      <c r="C5" s="789"/>
      <c r="D5" s="786" t="str">
        <f>Índex!F47</f>
        <v>≥ 2000</v>
      </c>
      <c r="E5" s="787"/>
      <c r="F5" s="919" t="s">
        <v>196</v>
      </c>
      <c r="G5" s="789"/>
      <c r="H5" s="871" t="s">
        <v>197</v>
      </c>
      <c r="I5" s="787"/>
      <c r="J5" s="787"/>
    </row>
    <row r="6" spans="2:10" ht="22.5" customHeight="1" x14ac:dyDescent="0.2">
      <c r="B6" s="546" t="s">
        <v>471</v>
      </c>
      <c r="C6" s="547"/>
      <c r="D6" s="786" t="str">
        <f>Índex!H47</f>
        <v>Objectiu de Qualitat. Qualitat dels programes formatius</v>
      </c>
      <c r="E6" s="787"/>
      <c r="F6" s="919" t="s">
        <v>634</v>
      </c>
      <c r="G6" s="919"/>
      <c r="H6" s="871"/>
      <c r="I6" s="871"/>
      <c r="J6" s="871"/>
    </row>
    <row r="7" spans="2:10" ht="22.5" customHeight="1" x14ac:dyDescent="0.2">
      <c r="B7" s="546" t="s">
        <v>463</v>
      </c>
      <c r="C7" s="547"/>
      <c r="D7" s="954"/>
      <c r="E7" s="955"/>
      <c r="F7" s="917" t="s">
        <v>464</v>
      </c>
      <c r="G7" s="789"/>
      <c r="H7" s="786" t="s">
        <v>198</v>
      </c>
      <c r="I7" s="786"/>
      <c r="J7" s="786"/>
    </row>
    <row r="8" spans="2:10" ht="22.5" customHeight="1" x14ac:dyDescent="0.2">
      <c r="B8" s="920" t="s">
        <v>465</v>
      </c>
      <c r="C8" s="921"/>
      <c r="D8" s="954" t="str">
        <f>Índex!D47</f>
        <v xml:space="preserve">Vicedegà d’Alumnat i de Promoció  </v>
      </c>
      <c r="E8" s="955"/>
      <c r="F8" s="917" t="s">
        <v>637</v>
      </c>
      <c r="G8" s="789"/>
      <c r="H8" s="871" t="str">
        <f>Índex!D47</f>
        <v xml:space="preserve">Vicedegà d’Alumnat i de Promoció  </v>
      </c>
      <c r="I8" s="871"/>
      <c r="J8" s="871"/>
    </row>
    <row r="9" spans="2:10" ht="38.25" customHeight="1" x14ac:dyDescent="0.2">
      <c r="B9" s="917" t="s">
        <v>461</v>
      </c>
      <c r="C9" s="789"/>
      <c r="D9" s="786" t="str">
        <f>Índex!G47</f>
        <v>PC3.05. Activitats de Promoció i Difusió</v>
      </c>
      <c r="E9" s="786"/>
      <c r="F9" s="953" t="s">
        <v>467</v>
      </c>
      <c r="G9" s="953"/>
      <c r="H9" s="786" t="s">
        <v>556</v>
      </c>
      <c r="I9" s="786"/>
      <c r="J9" s="786"/>
    </row>
    <row r="10" spans="2:10" ht="7.5" customHeight="1" x14ac:dyDescent="0.2"/>
    <row r="11" spans="2:10" ht="22.5" customHeight="1" x14ac:dyDescent="0.2">
      <c r="B11" s="788" t="s">
        <v>468</v>
      </c>
      <c r="C11" s="789"/>
      <c r="D11" s="789"/>
      <c r="E11" s="789"/>
      <c r="F11" s="789"/>
      <c r="G11" s="789"/>
      <c r="H11" s="789"/>
      <c r="I11" s="789"/>
      <c r="J11" s="789"/>
    </row>
    <row r="12" spans="2:10" ht="22.5" customHeight="1" x14ac:dyDescent="0.2">
      <c r="B12" s="13"/>
      <c r="C12" s="12"/>
      <c r="D12" s="12"/>
      <c r="E12" s="12"/>
      <c r="F12" s="12"/>
      <c r="G12" s="12"/>
      <c r="H12" s="12"/>
      <c r="I12" s="12"/>
      <c r="J12" s="12"/>
    </row>
    <row r="13" spans="2:10" ht="22.5" customHeight="1" x14ac:dyDescent="0.2">
      <c r="C13" s="84" t="s">
        <v>201</v>
      </c>
      <c r="D13" s="84" t="s">
        <v>202</v>
      </c>
      <c r="E13" s="84" t="s">
        <v>203</v>
      </c>
      <c r="F13" s="84" t="s">
        <v>204</v>
      </c>
      <c r="G13" s="84" t="s">
        <v>205</v>
      </c>
      <c r="H13" s="78" t="s">
        <v>256</v>
      </c>
      <c r="I13" s="12"/>
      <c r="J13" s="12"/>
    </row>
    <row r="14" spans="2:10" ht="39" customHeight="1" x14ac:dyDescent="0.25">
      <c r="B14" s="153" t="s">
        <v>374</v>
      </c>
      <c r="C14" s="28">
        <v>3555</v>
      </c>
      <c r="D14" s="28">
        <v>3073</v>
      </c>
      <c r="E14" s="28">
        <v>3361</v>
      </c>
      <c r="F14" s="28">
        <v>2839</v>
      </c>
      <c r="G14" s="28">
        <v>4644</v>
      </c>
      <c r="H14" s="28">
        <v>2580</v>
      </c>
      <c r="I14" s="12"/>
      <c r="J14" s="12"/>
    </row>
    <row r="15" spans="2:10" ht="22.5" customHeight="1" x14ac:dyDescent="0.2">
      <c r="B15" s="540" t="s">
        <v>375</v>
      </c>
      <c r="C15" s="231">
        <v>2000</v>
      </c>
      <c r="D15" s="231">
        <v>2000</v>
      </c>
      <c r="E15" s="231">
        <v>2000</v>
      </c>
      <c r="F15" s="231">
        <v>2000</v>
      </c>
      <c r="G15" s="231">
        <v>4500</v>
      </c>
      <c r="H15" s="231">
        <v>4500</v>
      </c>
      <c r="I15" s="12"/>
      <c r="J15" s="12"/>
    </row>
    <row r="16" spans="2:10" ht="22.5" customHeight="1" x14ac:dyDescent="0.2">
      <c r="B16" s="540" t="s">
        <v>215</v>
      </c>
      <c r="C16" s="268">
        <v>1</v>
      </c>
      <c r="D16" s="268">
        <v>1</v>
      </c>
      <c r="E16" s="268">
        <v>1</v>
      </c>
      <c r="F16" s="268">
        <v>1</v>
      </c>
      <c r="G16" s="268">
        <v>1</v>
      </c>
      <c r="H16" s="52">
        <v>1</v>
      </c>
      <c r="I16" s="12"/>
      <c r="J16" s="12"/>
    </row>
    <row r="17" spans="2:14" ht="15.75" customHeight="1" x14ac:dyDescent="0.2">
      <c r="H17" s="455"/>
    </row>
    <row r="18" spans="2:14" ht="15.75" customHeight="1" x14ac:dyDescent="0.2">
      <c r="H18" s="444"/>
    </row>
    <row r="22" spans="2:14" ht="22.5" customHeight="1" x14ac:dyDescent="0.2">
      <c r="B22" s="567" t="s">
        <v>469</v>
      </c>
      <c r="C22" s="568"/>
      <c r="D22" s="568"/>
      <c r="E22" s="569"/>
      <c r="F22" s="18"/>
      <c r="K22" s="773" t="s">
        <v>470</v>
      </c>
      <c r="L22" s="568"/>
      <c r="M22" s="568"/>
      <c r="N22" s="569"/>
    </row>
    <row r="23" spans="2:14" ht="22.5" customHeight="1" x14ac:dyDescent="0.2">
      <c r="B23" s="8"/>
      <c r="C23" s="8"/>
      <c r="D23" s="8"/>
      <c r="E23" s="8"/>
      <c r="F23" s="8"/>
      <c r="K23" s="9"/>
      <c r="L23" s="9"/>
      <c r="M23" s="9"/>
      <c r="N23" s="9"/>
    </row>
    <row r="24" spans="2:14" ht="6" customHeight="1" x14ac:dyDescent="0.2">
      <c r="B24" s="8"/>
      <c r="C24" s="8"/>
      <c r="D24" s="8"/>
      <c r="E24" s="8"/>
      <c r="F24" s="8"/>
      <c r="K24" s="570" t="s">
        <v>155</v>
      </c>
      <c r="L24" s="571"/>
      <c r="M24" s="571"/>
      <c r="N24" s="572"/>
    </row>
    <row r="25" spans="2:14" ht="19.5" customHeight="1" x14ac:dyDescent="0.2">
      <c r="B25" s="8"/>
      <c r="C25" s="8"/>
      <c r="D25" s="8"/>
      <c r="E25" s="8"/>
      <c r="F25" s="8"/>
      <c r="K25" s="573"/>
      <c r="L25" s="574"/>
      <c r="M25" s="574"/>
      <c r="N25" s="575"/>
    </row>
    <row r="26" spans="2:14" ht="19.5" customHeight="1" x14ac:dyDescent="0.2">
      <c r="B26" s="8"/>
      <c r="C26" s="8"/>
      <c r="D26" s="8"/>
      <c r="E26" s="8"/>
      <c r="F26" s="8"/>
      <c r="K26" s="573"/>
      <c r="L26" s="574"/>
      <c r="M26" s="574"/>
      <c r="N26" s="575"/>
    </row>
    <row r="27" spans="2:14" ht="19.5" customHeight="1" x14ac:dyDescent="0.2">
      <c r="B27" s="8"/>
      <c r="C27" s="8"/>
      <c r="D27" s="8"/>
      <c r="E27" s="8"/>
      <c r="F27" s="8"/>
      <c r="K27" s="573"/>
      <c r="L27" s="574"/>
      <c r="M27" s="574"/>
      <c r="N27" s="575"/>
    </row>
    <row r="28" spans="2:14" ht="19.5" customHeight="1" x14ac:dyDescent="0.2">
      <c r="B28" s="8"/>
      <c r="C28" s="8"/>
      <c r="D28" s="8"/>
      <c r="E28" s="8"/>
      <c r="F28" s="8"/>
      <c r="K28" s="573"/>
      <c r="L28" s="574"/>
      <c r="M28" s="574"/>
      <c r="N28" s="575"/>
    </row>
    <row r="29" spans="2:14" ht="19.5" customHeight="1" x14ac:dyDescent="0.2">
      <c r="B29" s="8"/>
      <c r="C29" s="8"/>
      <c r="D29" s="8"/>
      <c r="E29" s="8"/>
      <c r="F29" s="8"/>
      <c r="K29" s="573"/>
      <c r="L29" s="574"/>
      <c r="M29" s="574"/>
      <c r="N29" s="575"/>
    </row>
    <row r="30" spans="2:14" ht="19.5" customHeight="1" x14ac:dyDescent="0.2">
      <c r="B30" s="8"/>
      <c r="C30" s="8"/>
      <c r="D30" s="8"/>
      <c r="E30" s="8"/>
      <c r="F30" s="8"/>
      <c r="K30" s="573"/>
      <c r="L30" s="574"/>
      <c r="M30" s="574"/>
      <c r="N30" s="575"/>
    </row>
    <row r="31" spans="2:14" ht="19.5" customHeight="1" x14ac:dyDescent="0.2">
      <c r="B31" s="8"/>
      <c r="C31" s="8"/>
      <c r="D31" s="8"/>
      <c r="E31" s="8"/>
      <c r="F31" s="8"/>
      <c r="K31" s="573"/>
      <c r="L31" s="574"/>
      <c r="M31" s="574"/>
      <c r="N31" s="575"/>
    </row>
    <row r="32" spans="2:14" ht="19.5" customHeight="1" x14ac:dyDescent="0.2">
      <c r="B32" s="8"/>
      <c r="C32" s="8"/>
      <c r="D32" s="8"/>
      <c r="E32" s="8"/>
      <c r="F32" s="8"/>
      <c r="K32" s="576"/>
      <c r="L32" s="577"/>
      <c r="M32" s="577"/>
      <c r="N32" s="578"/>
    </row>
    <row r="33" spans="8:10" ht="19.5" customHeight="1" x14ac:dyDescent="0.2"/>
    <row r="34" spans="8:10" ht="19.5" customHeight="1" x14ac:dyDescent="0.2">
      <c r="H34" s="559" t="s">
        <v>155</v>
      </c>
      <c r="I34" s="560"/>
      <c r="J34" s="560"/>
    </row>
  </sheetData>
  <sheetProtection formatCells="0" formatColumns="0" formatRows="0" insertColumns="0" insertRows="0" insertHyperlinks="0" deleteColumns="0" deleteRows="0" pivotTables="0"/>
  <mergeCells count="29">
    <mergeCell ref="H34:J34"/>
    <mergeCell ref="B11:J11"/>
    <mergeCell ref="B22:E22"/>
    <mergeCell ref="K22:N22"/>
    <mergeCell ref="K24:N32"/>
    <mergeCell ref="H9:J9"/>
    <mergeCell ref="H8:J8"/>
    <mergeCell ref="H7:J7"/>
    <mergeCell ref="H6:J6"/>
    <mergeCell ref="D7:E7"/>
    <mergeCell ref="B9:C9"/>
    <mergeCell ref="D9:E9"/>
    <mergeCell ref="F9:G9"/>
    <mergeCell ref="F6:G6"/>
    <mergeCell ref="D6:E6"/>
    <mergeCell ref="F7:G7"/>
    <mergeCell ref="F8:G8"/>
    <mergeCell ref="D8:E8"/>
    <mergeCell ref="B8:C8"/>
    <mergeCell ref="B5:C5"/>
    <mergeCell ref="D5:E5"/>
    <mergeCell ref="F5:G5"/>
    <mergeCell ref="H5:J5"/>
    <mergeCell ref="B2:D2"/>
    <mergeCell ref="E2:J2"/>
    <mergeCell ref="B4:C4"/>
    <mergeCell ref="D4:E4"/>
    <mergeCell ref="F4:G4"/>
    <mergeCell ref="H4:J4"/>
  </mergeCells>
  <pageMargins left="0.7" right="0.7" top="0.75" bottom="0.75" header="0" footer="0"/>
  <pageSetup paperSize="9" scale="58"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789DA-1692-4A26-A413-026684010DEC}">
  <sheetPr>
    <tabColor theme="9" tint="-0.499984740745262"/>
    <pageSetUpPr fitToPage="1"/>
  </sheetPr>
  <dimension ref="B2:J34"/>
  <sheetViews>
    <sheetView showGridLines="0" zoomScale="124" zoomScaleNormal="124" workbookViewId="0">
      <selection activeCell="H8" sqref="H8:J8"/>
    </sheetView>
  </sheetViews>
  <sheetFormatPr defaultColWidth="12.5703125" defaultRowHeight="15.75" customHeight="1" x14ac:dyDescent="0.2"/>
  <cols>
    <col min="1" max="1" width="3.42578125" customWidth="1"/>
    <col min="2" max="2" width="14.140625" customWidth="1"/>
    <col min="3" max="3" width="23" customWidth="1"/>
    <col min="4" max="4" width="17.28515625" bestFit="1" customWidth="1"/>
    <col min="5" max="9" width="12.5703125" customWidth="1"/>
    <col min="10" max="10" width="36.2851562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788" t="s">
        <v>193</v>
      </c>
      <c r="C4" s="789"/>
      <c r="D4" s="786" t="str">
        <f>Índex!B48</f>
        <v>PC3.05_Ind02.</v>
      </c>
      <c r="E4" s="787"/>
      <c r="F4" s="788" t="s">
        <v>194</v>
      </c>
      <c r="G4" s="789"/>
      <c r="H4" s="786" t="str">
        <f>Índex!C48</f>
        <v>Nombre d'activitats realitzades pel Consell d'Estudiants (Pla Estratègic 2022/2023 a 2024/2025)</v>
      </c>
      <c r="I4" s="787"/>
      <c r="J4" s="787"/>
    </row>
    <row r="5" spans="2:10" ht="22.5" customHeight="1" x14ac:dyDescent="0.2">
      <c r="B5" s="788" t="s">
        <v>195</v>
      </c>
      <c r="C5" s="789"/>
      <c r="D5" s="786">
        <f>Índex!F48</f>
        <v>1</v>
      </c>
      <c r="E5" s="787"/>
      <c r="F5" s="905" t="s">
        <v>196</v>
      </c>
      <c r="G5" s="789"/>
      <c r="H5" s="871" t="s">
        <v>212</v>
      </c>
      <c r="I5" s="787"/>
      <c r="J5" s="787"/>
    </row>
    <row r="6" spans="2:10" ht="22.5" customHeight="1" x14ac:dyDescent="0.2">
      <c r="B6" s="788" t="s">
        <v>471</v>
      </c>
      <c r="C6" s="788"/>
      <c r="D6" s="963" t="str">
        <f>Índex!H48</f>
        <v>Pla Estratègic</v>
      </c>
      <c r="E6" s="964"/>
      <c r="F6" s="905" t="s">
        <v>634</v>
      </c>
      <c r="G6" s="905"/>
      <c r="H6" s="960"/>
      <c r="I6" s="961"/>
      <c r="J6" s="962"/>
    </row>
    <row r="7" spans="2:10" ht="22.5" customHeight="1" x14ac:dyDescent="0.2">
      <c r="B7" s="788" t="s">
        <v>463</v>
      </c>
      <c r="C7" s="789"/>
      <c r="D7" s="786"/>
      <c r="E7" s="787"/>
      <c r="F7" s="788" t="s">
        <v>464</v>
      </c>
      <c r="G7" s="788"/>
      <c r="H7" s="959" t="s">
        <v>198</v>
      </c>
      <c r="I7" s="697"/>
      <c r="J7" s="698"/>
    </row>
    <row r="8" spans="2:10" ht="22.5" customHeight="1" x14ac:dyDescent="0.2">
      <c r="B8" s="793" t="s">
        <v>465</v>
      </c>
      <c r="C8" s="795"/>
      <c r="D8" s="963" t="str">
        <f>Índex!D48</f>
        <v xml:space="preserve">Vicedegà d’Alumnat i de Promoció  </v>
      </c>
      <c r="E8" s="964"/>
      <c r="F8" s="230" t="s">
        <v>637</v>
      </c>
      <c r="G8" s="147"/>
      <c r="H8" s="956" t="str">
        <f>Índex!E48</f>
        <v xml:space="preserve">Secretària de Deganat </v>
      </c>
      <c r="I8" s="957"/>
      <c r="J8" s="958"/>
    </row>
    <row r="9" spans="2:10" ht="22.5" customHeight="1" x14ac:dyDescent="0.2">
      <c r="B9" s="230" t="s">
        <v>461</v>
      </c>
      <c r="C9" s="147"/>
      <c r="D9" s="963" t="str">
        <f>Índex!G48</f>
        <v>PC3.05. Activitats de Promoció i Difusió</v>
      </c>
      <c r="E9" s="964"/>
      <c r="F9" s="230" t="s">
        <v>467</v>
      </c>
      <c r="G9" s="147"/>
      <c r="H9" s="956"/>
      <c r="I9" s="957"/>
      <c r="J9" s="958"/>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c r="C13" s="84" t="s">
        <v>201</v>
      </c>
      <c r="D13" s="84" t="s">
        <v>202</v>
      </c>
      <c r="E13" s="84" t="s">
        <v>203</v>
      </c>
      <c r="F13" s="84" t="s">
        <v>204</v>
      </c>
      <c r="G13" s="84" t="s">
        <v>205</v>
      </c>
      <c r="H13" s="84" t="s">
        <v>256</v>
      </c>
      <c r="I13" s="12"/>
      <c r="J13" s="12"/>
    </row>
    <row r="14" spans="2:10" ht="22.5" customHeight="1" x14ac:dyDescent="0.2">
      <c r="B14" s="97" t="s">
        <v>376</v>
      </c>
      <c r="C14" s="510" t="s">
        <v>213</v>
      </c>
      <c r="D14" s="510" t="s">
        <v>213</v>
      </c>
      <c r="E14" s="510" t="s">
        <v>213</v>
      </c>
      <c r="F14" s="510">
        <v>0</v>
      </c>
      <c r="G14" s="510">
        <v>2</v>
      </c>
      <c r="H14" s="511">
        <v>2</v>
      </c>
      <c r="I14" s="12"/>
      <c r="J14" s="12"/>
    </row>
    <row r="15" spans="2:10" ht="22.5" customHeight="1" x14ac:dyDescent="0.2">
      <c r="B15" s="148" t="s">
        <v>375</v>
      </c>
      <c r="C15" s="511">
        <v>1</v>
      </c>
      <c r="D15" s="511">
        <v>1</v>
      </c>
      <c r="E15" s="511">
        <v>1</v>
      </c>
      <c r="F15" s="511">
        <v>1</v>
      </c>
      <c r="G15" s="511">
        <v>1</v>
      </c>
      <c r="H15" s="511">
        <v>1</v>
      </c>
      <c r="I15" s="12"/>
      <c r="J15" s="12"/>
    </row>
    <row r="16" spans="2:10" ht="22.5" customHeight="1" x14ac:dyDescent="0.2">
      <c r="B16" s="148" t="s">
        <v>215</v>
      </c>
      <c r="C16" s="512" t="s">
        <v>377</v>
      </c>
      <c r="D16" s="512" t="s">
        <v>213</v>
      </c>
      <c r="E16" s="512">
        <f>F14/F15</f>
        <v>0</v>
      </c>
      <c r="F16" s="512">
        <f>F14/F15</f>
        <v>0</v>
      </c>
      <c r="G16" s="512">
        <f>G14/G15</f>
        <v>2</v>
      </c>
      <c r="H16" s="512">
        <f>H14/H15</f>
        <v>2</v>
      </c>
      <c r="I16" s="12"/>
      <c r="J16" s="12"/>
    </row>
    <row r="22" spans="2:10" ht="22.5" customHeight="1" x14ac:dyDescent="0.2">
      <c r="B22" s="567" t="s">
        <v>209</v>
      </c>
      <c r="C22" s="568"/>
      <c r="D22" s="568"/>
      <c r="E22" s="569"/>
      <c r="F22" s="18"/>
      <c r="G22" s="773" t="s">
        <v>210</v>
      </c>
      <c r="H22" s="568"/>
      <c r="I22" s="568"/>
      <c r="J22" s="569"/>
    </row>
    <row r="23" spans="2:10" ht="22.5" customHeight="1" x14ac:dyDescent="0.2">
      <c r="B23" s="8"/>
      <c r="C23" s="8"/>
      <c r="D23" s="8"/>
      <c r="E23" s="8"/>
      <c r="F23" s="8"/>
      <c r="G23" s="9"/>
      <c r="H23" s="9"/>
      <c r="I23" s="9"/>
      <c r="J23" s="9"/>
    </row>
    <row r="24" spans="2:10" ht="6" customHeight="1" x14ac:dyDescent="0.2">
      <c r="B24" s="8"/>
      <c r="C24" s="8"/>
      <c r="D24" s="8"/>
      <c r="E24" s="8"/>
      <c r="F24" s="8"/>
      <c r="G24" s="709" t="s">
        <v>378</v>
      </c>
      <c r="H24" s="571"/>
      <c r="I24" s="571"/>
      <c r="J24" s="572"/>
    </row>
    <row r="25" spans="2:10" ht="19.5" customHeight="1" x14ac:dyDescent="0.2">
      <c r="B25" s="8"/>
      <c r="C25" s="8"/>
      <c r="D25" s="8"/>
      <c r="E25" s="8"/>
      <c r="F25" s="8"/>
      <c r="G25" s="573"/>
      <c r="H25" s="574"/>
      <c r="I25" s="574"/>
      <c r="J25" s="575"/>
    </row>
    <row r="26" spans="2:10" ht="19.5" customHeight="1" x14ac:dyDescent="0.2">
      <c r="B26" s="8"/>
      <c r="C26" s="8"/>
      <c r="D26" s="8"/>
      <c r="E26" s="8"/>
      <c r="F26" s="8"/>
      <c r="G26" s="573"/>
      <c r="H26" s="574"/>
      <c r="I26" s="574"/>
      <c r="J26" s="575"/>
    </row>
    <row r="27" spans="2:10" ht="19.5" customHeight="1" x14ac:dyDescent="0.2">
      <c r="B27" s="8"/>
      <c r="C27" s="8"/>
      <c r="D27" s="8"/>
      <c r="E27" s="8"/>
      <c r="F27" s="8"/>
      <c r="G27" s="573"/>
      <c r="H27" s="574"/>
      <c r="I27" s="574"/>
      <c r="J27" s="575"/>
    </row>
    <row r="28" spans="2:10" ht="19.5" customHeight="1" x14ac:dyDescent="0.2">
      <c r="B28" s="8"/>
      <c r="C28" s="8"/>
      <c r="D28" s="8"/>
      <c r="E28" s="8"/>
      <c r="F28" s="8"/>
      <c r="G28" s="573"/>
      <c r="H28" s="574"/>
      <c r="I28" s="574"/>
      <c r="J28" s="575"/>
    </row>
    <row r="29" spans="2:10" ht="19.5" customHeight="1" x14ac:dyDescent="0.2">
      <c r="B29" s="8"/>
      <c r="C29" s="8"/>
      <c r="D29" s="8"/>
      <c r="E29" s="8"/>
      <c r="F29" s="8"/>
      <c r="G29" s="573"/>
      <c r="H29" s="574"/>
      <c r="I29" s="574"/>
      <c r="J29" s="575"/>
    </row>
    <row r="30" spans="2:10" ht="19.5" customHeight="1" x14ac:dyDescent="0.2">
      <c r="B30" s="8"/>
      <c r="C30" s="8"/>
      <c r="D30" s="8"/>
      <c r="E30" s="8"/>
      <c r="F30" s="8"/>
      <c r="G30" s="573"/>
      <c r="H30" s="574"/>
      <c r="I30" s="574"/>
      <c r="J30" s="575"/>
    </row>
    <row r="31" spans="2:10" ht="19.5" customHeight="1" x14ac:dyDescent="0.2">
      <c r="B31" s="8"/>
      <c r="C31" s="8"/>
      <c r="D31" s="8"/>
      <c r="E31" s="8"/>
      <c r="F31" s="8"/>
      <c r="G31" s="573"/>
      <c r="H31" s="574"/>
      <c r="I31" s="574"/>
      <c r="J31" s="575"/>
    </row>
    <row r="32" spans="2:10" ht="19.5" customHeight="1" x14ac:dyDescent="0.2">
      <c r="B32" s="8"/>
      <c r="C32" s="8"/>
      <c r="D32" s="8"/>
      <c r="E32" s="8"/>
      <c r="F32" s="8"/>
      <c r="G32" s="576"/>
      <c r="H32" s="577"/>
      <c r="I32" s="577"/>
      <c r="J32" s="578"/>
    </row>
    <row r="33" spans="8:10" ht="19.5" customHeight="1" x14ac:dyDescent="0.2"/>
    <row r="34" spans="8:10" ht="19.5" customHeight="1" x14ac:dyDescent="0.2">
      <c r="H34" s="559" t="s">
        <v>155</v>
      </c>
      <c r="I34" s="560"/>
      <c r="J34" s="560"/>
    </row>
  </sheetData>
  <sheetProtection formatCells="0" formatColumns="0" formatRows="0" insertColumns="0" insertRows="0" insertHyperlinks="0" deleteColumns="0" deleteRows="0" pivotTables="0"/>
  <mergeCells count="28">
    <mergeCell ref="B2:D2"/>
    <mergeCell ref="E2:J2"/>
    <mergeCell ref="B4:C4"/>
    <mergeCell ref="D4:E4"/>
    <mergeCell ref="F4:G4"/>
    <mergeCell ref="H4:J4"/>
    <mergeCell ref="B5:C5"/>
    <mergeCell ref="D5:E5"/>
    <mergeCell ref="F5:G5"/>
    <mergeCell ref="H5:J5"/>
    <mergeCell ref="B7:C7"/>
    <mergeCell ref="D7:E7"/>
    <mergeCell ref="F7:G7"/>
    <mergeCell ref="B6:C6"/>
    <mergeCell ref="F6:G6"/>
    <mergeCell ref="D6:E6"/>
    <mergeCell ref="B11:J11"/>
    <mergeCell ref="G22:J22"/>
    <mergeCell ref="G24:J32"/>
    <mergeCell ref="H34:J34"/>
    <mergeCell ref="B22:E22"/>
    <mergeCell ref="B8:C8"/>
    <mergeCell ref="H9:J9"/>
    <mergeCell ref="H8:J8"/>
    <mergeCell ref="H7:J7"/>
    <mergeCell ref="H6:J6"/>
    <mergeCell ref="D9:E9"/>
    <mergeCell ref="D8:E8"/>
  </mergeCells>
  <pageMargins left="0.7" right="0.7" top="0.75" bottom="0.75" header="0" footer="0"/>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1CB73-C367-484A-B830-609D142E1B50}">
  <sheetPr>
    <tabColor theme="9" tint="-0.499984740745262"/>
    <pageSetUpPr fitToPage="1"/>
  </sheetPr>
  <dimension ref="B2:S50"/>
  <sheetViews>
    <sheetView showGridLines="0" workbookViewId="0">
      <selection activeCell="O7" sqref="O7"/>
    </sheetView>
  </sheetViews>
  <sheetFormatPr defaultColWidth="12.5703125" defaultRowHeight="15.75" customHeight="1" x14ac:dyDescent="0.2"/>
  <cols>
    <col min="1" max="1" width="3.42578125" customWidth="1"/>
    <col min="2" max="2" width="14.140625" customWidth="1"/>
    <col min="3" max="4" width="17.28515625" customWidth="1"/>
    <col min="5" max="9" width="12.5703125" customWidth="1"/>
    <col min="10" max="10" width="12.710937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Índex!B49</f>
        <v xml:space="preserve">PS4.01_Ind01. </v>
      </c>
      <c r="E4" s="716"/>
      <c r="F4" s="567" t="s">
        <v>194</v>
      </c>
      <c r="G4" s="569"/>
      <c r="H4" s="718" t="str">
        <f>Índex!C49</f>
        <v>Taxa de matrícula respecte a les places ofertes per curs acadèmic i titulació (1er curs)</v>
      </c>
      <c r="I4" s="715"/>
      <c r="J4" s="716"/>
    </row>
    <row r="5" spans="2:10" ht="22.5" customHeight="1" x14ac:dyDescent="0.2">
      <c r="B5" s="567" t="s">
        <v>195</v>
      </c>
      <c r="C5" s="569"/>
      <c r="D5" s="784">
        <f>Índex!F49</f>
        <v>1</v>
      </c>
      <c r="E5" s="785"/>
      <c r="F5" s="567" t="s">
        <v>196</v>
      </c>
      <c r="G5" s="569"/>
      <c r="H5" s="718" t="s">
        <v>216</v>
      </c>
      <c r="I5" s="715"/>
      <c r="J5" s="716"/>
    </row>
    <row r="6" spans="2:10" ht="36" customHeight="1" x14ac:dyDescent="0.2">
      <c r="B6" s="567" t="s">
        <v>494</v>
      </c>
      <c r="C6" s="569"/>
      <c r="D6" s="718" t="str">
        <f>Índex!H49</f>
        <v>Objectiu de Qualitat. Qualitat dels programes formatius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22.5" customHeight="1" x14ac:dyDescent="0.2">
      <c r="B8" s="567" t="s">
        <v>465</v>
      </c>
      <c r="C8" s="569"/>
      <c r="D8" s="718" t="str">
        <f>Índex!D49</f>
        <v>Degà</v>
      </c>
      <c r="E8" s="716"/>
      <c r="F8" s="567" t="s">
        <v>472</v>
      </c>
      <c r="G8" s="569"/>
      <c r="H8" s="718" t="str">
        <f>Índex!E49</f>
        <v xml:space="preserve">Gestor Acadèmic </v>
      </c>
      <c r="I8" s="715"/>
      <c r="J8" s="716"/>
    </row>
    <row r="9" spans="2:10" ht="22.5" customHeight="1" x14ac:dyDescent="0.2">
      <c r="B9" s="567" t="s">
        <v>461</v>
      </c>
      <c r="C9" s="569"/>
      <c r="D9" s="718" t="str">
        <f>Índex!G49</f>
        <v>PS4.01. Organització Acadèmica</v>
      </c>
      <c r="E9" s="716"/>
      <c r="F9" s="567" t="s">
        <v>467</v>
      </c>
      <c r="G9" s="569"/>
      <c r="H9" s="718" t="s">
        <v>557</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965"/>
      <c r="C14" s="966"/>
      <c r="D14" s="78" t="s">
        <v>200</v>
      </c>
      <c r="E14" s="78" t="s">
        <v>201</v>
      </c>
      <c r="F14" s="78" t="s">
        <v>202</v>
      </c>
      <c r="G14" s="78" t="s">
        <v>203</v>
      </c>
      <c r="H14" s="78" t="s">
        <v>204</v>
      </c>
      <c r="I14" s="78" t="s">
        <v>205</v>
      </c>
      <c r="J14" s="78" t="s">
        <v>256</v>
      </c>
    </row>
    <row r="15" spans="2:10" ht="41.25" customHeight="1" x14ac:dyDescent="0.2">
      <c r="B15" s="739" t="s">
        <v>218</v>
      </c>
      <c r="C15" s="813"/>
      <c r="D15" s="384">
        <v>1.17</v>
      </c>
      <c r="E15" s="384">
        <v>1.1200000000000001</v>
      </c>
      <c r="F15" s="384">
        <v>1.18</v>
      </c>
      <c r="G15" s="384">
        <v>1.1200000000000001</v>
      </c>
      <c r="H15" s="384">
        <v>1.05</v>
      </c>
      <c r="I15" s="436">
        <v>1</v>
      </c>
      <c r="J15" s="436">
        <v>1</v>
      </c>
    </row>
    <row r="16" spans="2:10" ht="41.25" customHeight="1" x14ac:dyDescent="0.2">
      <c r="B16" s="739" t="s">
        <v>235</v>
      </c>
      <c r="C16" s="813"/>
      <c r="D16" s="384">
        <v>0.87</v>
      </c>
      <c r="E16" s="384">
        <v>1.07</v>
      </c>
      <c r="F16" s="384">
        <v>1.1000000000000001</v>
      </c>
      <c r="G16" s="384">
        <v>1.17</v>
      </c>
      <c r="H16" s="384" t="s">
        <v>213</v>
      </c>
      <c r="I16" s="436">
        <v>1</v>
      </c>
      <c r="J16" s="436">
        <v>1.0666</v>
      </c>
    </row>
    <row r="17" spans="2:19" ht="41.25" customHeight="1" x14ac:dyDescent="0.2">
      <c r="B17" s="739" t="s">
        <v>262</v>
      </c>
      <c r="C17" s="813"/>
      <c r="D17" s="384">
        <v>1.05</v>
      </c>
      <c r="E17" s="384">
        <v>1.05</v>
      </c>
      <c r="F17" s="384">
        <v>1.28</v>
      </c>
      <c r="G17" s="384">
        <v>1.25</v>
      </c>
      <c r="H17" s="384">
        <v>1.02</v>
      </c>
      <c r="I17" s="436">
        <v>1.075</v>
      </c>
      <c r="J17" s="436">
        <v>1.075</v>
      </c>
    </row>
    <row r="18" spans="2:19" ht="41.25" customHeight="1" x14ac:dyDescent="0.2">
      <c r="B18" s="739" t="s">
        <v>221</v>
      </c>
      <c r="C18" s="813"/>
      <c r="D18" s="384">
        <v>1.01</v>
      </c>
      <c r="E18" s="384">
        <v>1.01</v>
      </c>
      <c r="F18" s="384">
        <v>1.07</v>
      </c>
      <c r="G18" s="384">
        <v>1.1000000000000001</v>
      </c>
      <c r="H18" s="384">
        <v>1.0285</v>
      </c>
      <c r="I18" s="436">
        <v>1.0857000000000001</v>
      </c>
      <c r="J18" s="436">
        <v>1.1143000000000001</v>
      </c>
    </row>
    <row r="19" spans="2:19" ht="41.25" customHeight="1" x14ac:dyDescent="0.2">
      <c r="B19" s="739" t="s">
        <v>294</v>
      </c>
      <c r="C19" s="813"/>
      <c r="D19" s="384">
        <v>1.1499999999999999</v>
      </c>
      <c r="E19" s="384">
        <v>1.1000000000000001</v>
      </c>
      <c r="F19" s="384">
        <v>1.1000000000000001</v>
      </c>
      <c r="G19" s="384">
        <v>1</v>
      </c>
      <c r="H19" s="384" t="s">
        <v>213</v>
      </c>
      <c r="I19" s="436">
        <v>1.1000000000000001</v>
      </c>
      <c r="J19" s="436">
        <v>1.1000000000000001</v>
      </c>
    </row>
    <row r="20" spans="2:19" ht="41.25" customHeight="1" x14ac:dyDescent="0.2">
      <c r="B20" s="739" t="s">
        <v>295</v>
      </c>
      <c r="C20" s="813"/>
      <c r="D20" s="384">
        <v>1.05</v>
      </c>
      <c r="E20" s="384">
        <v>1</v>
      </c>
      <c r="F20" s="384">
        <v>1.1000000000000001</v>
      </c>
      <c r="G20" s="384">
        <v>1.05</v>
      </c>
      <c r="H20" s="384" t="s">
        <v>213</v>
      </c>
      <c r="I20" s="436">
        <v>1.05</v>
      </c>
      <c r="J20" s="436">
        <v>1.1499999999999999</v>
      </c>
    </row>
    <row r="21" spans="2:19" ht="41.25" customHeight="1" x14ac:dyDescent="0.2">
      <c r="B21" s="739" t="s">
        <v>224</v>
      </c>
      <c r="C21" s="813"/>
      <c r="D21" s="384">
        <v>0.78</v>
      </c>
      <c r="E21" s="384">
        <v>0.94</v>
      </c>
      <c r="F21" s="384">
        <v>0.96</v>
      </c>
      <c r="G21" s="384">
        <v>1.04</v>
      </c>
      <c r="H21" s="384">
        <v>0.67500000000000004</v>
      </c>
      <c r="I21" s="436">
        <v>1</v>
      </c>
      <c r="J21" s="436">
        <v>0.95</v>
      </c>
    </row>
    <row r="22" spans="2:19" ht="41.25" customHeight="1" x14ac:dyDescent="0.2">
      <c r="B22" s="739" t="s">
        <v>225</v>
      </c>
      <c r="C22" s="813"/>
      <c r="D22" s="384" t="s">
        <v>264</v>
      </c>
      <c r="E22" s="384">
        <v>1.05</v>
      </c>
      <c r="F22" s="384">
        <v>1.25</v>
      </c>
      <c r="G22" s="384">
        <v>1.23</v>
      </c>
      <c r="H22" s="384">
        <v>1.075</v>
      </c>
      <c r="I22" s="436">
        <v>1.05</v>
      </c>
      <c r="J22" s="436">
        <v>1.075</v>
      </c>
    </row>
    <row r="23" spans="2:19" ht="41.25" customHeight="1" x14ac:dyDescent="0.2">
      <c r="B23" s="739" t="s">
        <v>226</v>
      </c>
      <c r="C23" s="813"/>
      <c r="D23" s="384">
        <v>0.97</v>
      </c>
      <c r="E23" s="384">
        <v>0.99</v>
      </c>
      <c r="F23" s="384">
        <v>1.03</v>
      </c>
      <c r="G23" s="384">
        <v>1.1499999999999999</v>
      </c>
      <c r="H23" s="384">
        <v>1.133</v>
      </c>
      <c r="I23" s="436">
        <v>1.05</v>
      </c>
      <c r="J23" s="436">
        <v>1.1166</v>
      </c>
    </row>
    <row r="24" spans="2:19" ht="41.25" customHeight="1" x14ac:dyDescent="0.2">
      <c r="B24" s="739" t="s">
        <v>227</v>
      </c>
      <c r="C24" s="813"/>
      <c r="D24" s="384">
        <v>1.82</v>
      </c>
      <c r="E24" s="384">
        <v>1.06</v>
      </c>
      <c r="F24" s="384">
        <v>1.0900000000000001</v>
      </c>
      <c r="G24" s="384">
        <v>1.1200000000000001</v>
      </c>
      <c r="H24" s="384">
        <v>1</v>
      </c>
      <c r="I24" s="436">
        <v>1</v>
      </c>
      <c r="J24" s="436">
        <v>1.0154000000000001</v>
      </c>
    </row>
    <row r="25" spans="2:19" ht="41.25" customHeight="1" x14ac:dyDescent="0.2">
      <c r="B25" s="739" t="s">
        <v>228</v>
      </c>
      <c r="C25" s="813"/>
      <c r="D25" s="384">
        <v>0</v>
      </c>
      <c r="E25" s="384">
        <v>1.03</v>
      </c>
      <c r="F25" s="384">
        <v>1.04</v>
      </c>
      <c r="G25" s="384">
        <v>1.1000000000000001</v>
      </c>
      <c r="H25" s="384">
        <v>0.97499999999999998</v>
      </c>
      <c r="I25" s="384">
        <v>0.99160000000000004</v>
      </c>
      <c r="J25" s="384">
        <v>1.0083</v>
      </c>
    </row>
    <row r="26" spans="2:19" ht="41.25" customHeight="1" x14ac:dyDescent="0.2">
      <c r="B26" s="739" t="s">
        <v>241</v>
      </c>
      <c r="C26" s="739"/>
      <c r="D26" s="384">
        <v>0.88</v>
      </c>
      <c r="E26" s="384">
        <v>1.02</v>
      </c>
      <c r="F26" s="384">
        <v>1.06</v>
      </c>
      <c r="G26" s="384">
        <v>1.1599999999999999</v>
      </c>
      <c r="H26" s="384">
        <v>1.18</v>
      </c>
      <c r="I26" s="384">
        <v>1.04</v>
      </c>
      <c r="J26" s="384">
        <v>1.08</v>
      </c>
    </row>
    <row r="27" spans="2:19" ht="41.25" customHeight="1" x14ac:dyDescent="0.2">
      <c r="B27" s="739" t="s">
        <v>266</v>
      </c>
      <c r="C27" s="739"/>
      <c r="D27" s="384">
        <v>1.04</v>
      </c>
      <c r="E27" s="384">
        <v>0.8</v>
      </c>
      <c r="F27" s="384">
        <v>0.68</v>
      </c>
      <c r="G27" s="384">
        <v>0.96</v>
      </c>
      <c r="H27" s="384">
        <v>1</v>
      </c>
      <c r="I27" s="436">
        <v>1.04</v>
      </c>
      <c r="J27" s="436">
        <v>0.8</v>
      </c>
    </row>
    <row r="28" spans="2:19" ht="41.25" customHeight="1" x14ac:dyDescent="0.2">
      <c r="B28" s="739" t="s">
        <v>243</v>
      </c>
      <c r="C28" s="739"/>
      <c r="D28" s="437">
        <v>0.84</v>
      </c>
      <c r="E28" s="437">
        <v>0.68</v>
      </c>
      <c r="F28" s="437">
        <v>0.6</v>
      </c>
      <c r="G28" s="437">
        <v>0.44</v>
      </c>
      <c r="H28" s="437">
        <v>0.84</v>
      </c>
      <c r="I28" s="384">
        <v>0.72</v>
      </c>
      <c r="J28" s="384">
        <v>0.6</v>
      </c>
    </row>
    <row r="29" spans="2:19" ht="41.25" customHeight="1" x14ac:dyDescent="0.2">
      <c r="B29" s="739" t="s">
        <v>244</v>
      </c>
      <c r="C29" s="739"/>
      <c r="D29" s="437">
        <v>1</v>
      </c>
      <c r="E29" s="437">
        <v>0.77</v>
      </c>
      <c r="F29" s="437">
        <v>1.2</v>
      </c>
      <c r="G29" s="437">
        <v>1.2</v>
      </c>
      <c r="H29" s="437">
        <v>1.1000000000000001</v>
      </c>
      <c r="I29" s="384">
        <v>1.4</v>
      </c>
      <c r="J29" s="384">
        <v>1.4665999999999999</v>
      </c>
    </row>
    <row r="30" spans="2:19" ht="41.25" customHeight="1" x14ac:dyDescent="0.2">
      <c r="B30" s="739" t="s">
        <v>253</v>
      </c>
      <c r="C30" s="739"/>
      <c r="D30" s="437">
        <v>0.92</v>
      </c>
      <c r="E30" s="437">
        <v>0.84</v>
      </c>
      <c r="F30" s="437">
        <v>0.88</v>
      </c>
      <c r="G30" s="437">
        <v>0.47</v>
      </c>
      <c r="H30" s="437">
        <v>0.6</v>
      </c>
      <c r="I30" s="384">
        <v>0.4</v>
      </c>
      <c r="J30" s="384">
        <v>0.6</v>
      </c>
      <c r="P30" s="788" t="s">
        <v>470</v>
      </c>
      <c r="Q30" s="789"/>
      <c r="R30" s="789"/>
      <c r="S30" s="789"/>
    </row>
    <row r="31" spans="2:19" ht="41.25" customHeight="1" x14ac:dyDescent="0.2">
      <c r="B31" s="739" t="s">
        <v>245</v>
      </c>
      <c r="C31" s="739"/>
      <c r="D31" s="437">
        <v>0.23</v>
      </c>
      <c r="E31" s="437">
        <v>0.17</v>
      </c>
      <c r="F31" s="437">
        <v>0.43</v>
      </c>
      <c r="G31" s="437">
        <v>0.24</v>
      </c>
      <c r="H31" s="437" t="s">
        <v>310</v>
      </c>
      <c r="I31" s="384">
        <v>0.48</v>
      </c>
      <c r="J31" s="384">
        <v>0.6</v>
      </c>
      <c r="P31" s="667" t="s">
        <v>558</v>
      </c>
      <c r="Q31" s="667"/>
      <c r="R31" s="667"/>
      <c r="S31" s="667"/>
    </row>
    <row r="32" spans="2:19" ht="41.25" customHeight="1" x14ac:dyDescent="0.2">
      <c r="B32" s="739" t="s">
        <v>372</v>
      </c>
      <c r="C32" s="739"/>
      <c r="D32" s="437">
        <v>1.22</v>
      </c>
      <c r="E32" s="437">
        <v>0.89</v>
      </c>
      <c r="F32" s="437">
        <v>0.96</v>
      </c>
      <c r="G32" s="437">
        <v>0.82</v>
      </c>
      <c r="H32" s="437">
        <v>0.8</v>
      </c>
      <c r="I32" s="384">
        <v>0.86660000000000004</v>
      </c>
      <c r="J32" s="384">
        <v>0.95550000000000002</v>
      </c>
      <c r="P32" s="667"/>
      <c r="Q32" s="667"/>
      <c r="R32" s="667"/>
      <c r="S32" s="667"/>
    </row>
    <row r="33" spans="2:19" ht="22.5" customHeight="1" x14ac:dyDescent="0.2">
      <c r="B33" s="948">
        <f>D5</f>
        <v>1</v>
      </c>
      <c r="C33" s="948"/>
      <c r="D33" s="15">
        <f>COUNTIF(D15:D32,"&gt;="&amp;D35)</f>
        <v>9</v>
      </c>
      <c r="E33" s="15">
        <f t="shared" ref="E33:J33" si="0">COUNTIF(E15:E32,"&gt;="&amp;E35)</f>
        <v>10</v>
      </c>
      <c r="F33" s="15">
        <f t="shared" si="0"/>
        <v>12</v>
      </c>
      <c r="G33" s="15">
        <f t="shared" si="0"/>
        <v>13</v>
      </c>
      <c r="H33" s="15">
        <f t="shared" si="0"/>
        <v>9</v>
      </c>
      <c r="I33" s="15">
        <f t="shared" si="0"/>
        <v>13</v>
      </c>
      <c r="J33" s="15">
        <f t="shared" si="0"/>
        <v>12</v>
      </c>
      <c r="P33" s="667"/>
      <c r="Q33" s="667"/>
      <c r="R33" s="667"/>
      <c r="S33" s="667"/>
    </row>
    <row r="34" spans="2:19" ht="22.5" customHeight="1" x14ac:dyDescent="0.2">
      <c r="B34" s="734" t="s">
        <v>248</v>
      </c>
      <c r="C34" s="734"/>
      <c r="D34" s="15">
        <f t="shared" ref="D34:J34" si="1">COUNT(D15:D32)</f>
        <v>17</v>
      </c>
      <c r="E34" s="15">
        <f t="shared" si="1"/>
        <v>18</v>
      </c>
      <c r="F34" s="15">
        <f t="shared" si="1"/>
        <v>18</v>
      </c>
      <c r="G34" s="15">
        <f t="shared" si="1"/>
        <v>18</v>
      </c>
      <c r="H34" s="15">
        <f t="shared" si="1"/>
        <v>14</v>
      </c>
      <c r="I34" s="15">
        <f t="shared" si="1"/>
        <v>18</v>
      </c>
      <c r="J34" s="15">
        <f t="shared" si="1"/>
        <v>18</v>
      </c>
      <c r="P34" s="667"/>
      <c r="Q34" s="667"/>
      <c r="R34" s="667"/>
      <c r="S34" s="667"/>
    </row>
    <row r="35" spans="2:19" ht="22.5" customHeight="1" x14ac:dyDescent="0.2">
      <c r="B35" s="735" t="s">
        <v>379</v>
      </c>
      <c r="C35" s="967"/>
      <c r="D35" s="154">
        <f>$D$5</f>
        <v>1</v>
      </c>
      <c r="E35" s="154">
        <f t="shared" ref="E35:J35" si="2">$D$5</f>
        <v>1</v>
      </c>
      <c r="F35" s="154">
        <f t="shared" si="2"/>
        <v>1</v>
      </c>
      <c r="G35" s="154">
        <f t="shared" si="2"/>
        <v>1</v>
      </c>
      <c r="H35" s="154">
        <f t="shared" si="2"/>
        <v>1</v>
      </c>
      <c r="I35" s="154">
        <f t="shared" si="2"/>
        <v>1</v>
      </c>
      <c r="J35" s="154">
        <f t="shared" si="2"/>
        <v>1</v>
      </c>
      <c r="P35" s="667"/>
      <c r="Q35" s="667"/>
      <c r="R35" s="667"/>
      <c r="S35" s="667"/>
    </row>
    <row r="36" spans="2:19" ht="22.5" customHeight="1" x14ac:dyDescent="0.2">
      <c r="B36" s="910" t="s">
        <v>208</v>
      </c>
      <c r="C36" s="911"/>
      <c r="D36" s="43">
        <f t="shared" ref="D36:J36" si="3">D33/D34</f>
        <v>0.52941176470588236</v>
      </c>
      <c r="E36" s="43">
        <f t="shared" si="3"/>
        <v>0.55555555555555558</v>
      </c>
      <c r="F36" s="43">
        <f t="shared" si="3"/>
        <v>0.66666666666666663</v>
      </c>
      <c r="G36" s="43">
        <f t="shared" si="3"/>
        <v>0.72222222222222221</v>
      </c>
      <c r="H36" s="43">
        <f t="shared" si="3"/>
        <v>0.6428571428571429</v>
      </c>
      <c r="I36" s="43">
        <f t="shared" si="3"/>
        <v>0.72222222222222221</v>
      </c>
      <c r="J36" s="43">
        <f t="shared" si="3"/>
        <v>0.66666666666666663</v>
      </c>
      <c r="P36" s="667"/>
      <c r="Q36" s="667"/>
      <c r="R36" s="667"/>
      <c r="S36" s="667"/>
    </row>
    <row r="37" spans="2:19" ht="22.5" customHeight="1" x14ac:dyDescent="0.25">
      <c r="B37" s="7"/>
      <c r="C37" s="7"/>
      <c r="D37" s="6"/>
      <c r="E37" s="6"/>
      <c r="F37" s="6"/>
      <c r="G37" s="6"/>
      <c r="H37" s="6"/>
      <c r="I37" s="6"/>
      <c r="J37" s="6"/>
      <c r="P37" s="667"/>
      <c r="Q37" s="667"/>
      <c r="R37" s="667"/>
      <c r="S37" s="667"/>
    </row>
    <row r="38" spans="2:19" ht="22.5" customHeight="1" x14ac:dyDescent="0.2">
      <c r="B38" s="567" t="s">
        <v>469</v>
      </c>
      <c r="C38" s="568"/>
      <c r="D38" s="568"/>
      <c r="E38" s="569"/>
      <c r="F38" s="8"/>
      <c r="G38" s="968"/>
      <c r="H38" s="969"/>
      <c r="I38" s="969"/>
      <c r="J38" s="969"/>
      <c r="P38" s="667"/>
      <c r="Q38" s="667"/>
      <c r="R38" s="667"/>
      <c r="S38" s="667"/>
    </row>
    <row r="39" spans="2:19" ht="22.5" customHeight="1" x14ac:dyDescent="0.2">
      <c r="B39" s="8"/>
      <c r="C39" s="8"/>
      <c r="D39" s="8"/>
      <c r="E39" s="8"/>
      <c r="F39" s="8"/>
      <c r="G39" s="9"/>
      <c r="H39" s="9"/>
      <c r="I39" s="9"/>
      <c r="J39" s="9"/>
      <c r="P39" s="667"/>
      <c r="Q39" s="667"/>
      <c r="R39" s="667"/>
      <c r="S39" s="667"/>
    </row>
    <row r="40" spans="2:19" ht="6" customHeight="1" x14ac:dyDescent="0.2">
      <c r="B40" s="8"/>
      <c r="C40" s="8"/>
      <c r="D40" s="8"/>
      <c r="E40" s="8"/>
      <c r="F40" s="8"/>
      <c r="G40" s="751"/>
      <c r="H40" s="752"/>
      <c r="I40" s="752"/>
      <c r="J40" s="752"/>
      <c r="P40" s="667"/>
      <c r="Q40" s="667"/>
      <c r="R40" s="667"/>
      <c r="S40" s="667"/>
    </row>
    <row r="41" spans="2:19" ht="19.5" customHeight="1" x14ac:dyDescent="0.2">
      <c r="B41" s="8"/>
      <c r="C41" s="8"/>
      <c r="D41" s="8"/>
      <c r="E41" s="8"/>
      <c r="F41" s="8"/>
      <c r="G41" s="752"/>
      <c r="H41" s="574"/>
      <c r="I41" s="574"/>
      <c r="J41" s="752"/>
    </row>
    <row r="42" spans="2:19" ht="19.5" customHeight="1" x14ac:dyDescent="0.2">
      <c r="B42" s="8"/>
      <c r="C42" s="8"/>
      <c r="D42" s="8"/>
      <c r="E42" s="8"/>
      <c r="F42" s="8"/>
      <c r="G42" s="752"/>
      <c r="H42" s="574"/>
      <c r="I42" s="574"/>
      <c r="J42" s="752"/>
    </row>
    <row r="43" spans="2:19" ht="19.5" customHeight="1" x14ac:dyDescent="0.2">
      <c r="B43" s="8"/>
      <c r="C43" s="8"/>
      <c r="D43" s="8"/>
      <c r="E43" s="8"/>
      <c r="F43" s="8"/>
      <c r="G43" s="752"/>
      <c r="H43" s="574"/>
      <c r="I43" s="574"/>
      <c r="J43" s="752"/>
    </row>
    <row r="44" spans="2:19" ht="19.5" customHeight="1" x14ac:dyDescent="0.2">
      <c r="B44" s="8"/>
      <c r="C44" s="8"/>
      <c r="D44" s="8"/>
      <c r="E44" s="8"/>
      <c r="F44" s="8"/>
      <c r="G44" s="752"/>
      <c r="H44" s="574"/>
      <c r="I44" s="574"/>
      <c r="J44" s="752"/>
    </row>
    <row r="45" spans="2:19" ht="19.5" customHeight="1" x14ac:dyDescent="0.2">
      <c r="B45" s="8"/>
      <c r="C45" s="8"/>
      <c r="D45" s="8"/>
      <c r="E45" s="8"/>
      <c r="F45" s="8"/>
      <c r="G45" s="752"/>
      <c r="H45" s="574"/>
      <c r="I45" s="574"/>
      <c r="J45" s="752"/>
    </row>
    <row r="46" spans="2:19" ht="19.5" customHeight="1" x14ac:dyDescent="0.2">
      <c r="B46" s="8"/>
      <c r="C46" s="8"/>
      <c r="D46" s="8"/>
      <c r="E46" s="8"/>
      <c r="F46" s="8"/>
      <c r="G46" s="752"/>
      <c r="H46" s="574"/>
      <c r="I46" s="574"/>
      <c r="J46" s="752"/>
    </row>
    <row r="47" spans="2:19" ht="19.5" customHeight="1" x14ac:dyDescent="0.2">
      <c r="B47" s="8"/>
      <c r="C47" s="8"/>
      <c r="D47" s="8"/>
      <c r="E47" s="8"/>
      <c r="F47" s="8"/>
      <c r="G47" s="752"/>
      <c r="H47" s="574"/>
      <c r="I47" s="574"/>
      <c r="J47" s="752"/>
    </row>
    <row r="48" spans="2:19" ht="19.5" customHeight="1" x14ac:dyDescent="0.2">
      <c r="B48" s="8"/>
      <c r="C48" s="8"/>
      <c r="D48" s="8"/>
      <c r="E48" s="8"/>
      <c r="F48" s="8"/>
      <c r="G48" s="752"/>
      <c r="H48" s="752"/>
      <c r="I48" s="752"/>
      <c r="J48" s="752"/>
    </row>
    <row r="49" spans="8:10" ht="19.5" customHeight="1" x14ac:dyDescent="0.2"/>
    <row r="50" spans="8:10" ht="19.5" customHeight="1" x14ac:dyDescent="0.2">
      <c r="H50" s="559" t="s">
        <v>155</v>
      </c>
      <c r="I50" s="560"/>
      <c r="J50" s="560"/>
    </row>
  </sheetData>
  <sheetProtection formatCells="0" formatColumns="0" formatRows="0" insertColumns="0" insertRows="0" insertHyperlinks="0" deleteColumns="0" deleteRows="0" pivotTables="0"/>
  <mergeCells count="56">
    <mergeCell ref="B8:C8"/>
    <mergeCell ref="D8:E8"/>
    <mergeCell ref="F8:G8"/>
    <mergeCell ref="H8:J8"/>
    <mergeCell ref="D9:E9"/>
    <mergeCell ref="F9:G9"/>
    <mergeCell ref="H9:J9"/>
    <mergeCell ref="P30:S30"/>
    <mergeCell ref="G38:J38"/>
    <mergeCell ref="G40:J48"/>
    <mergeCell ref="H50:J50"/>
    <mergeCell ref="P31:S40"/>
    <mergeCell ref="B32:C32"/>
    <mergeCell ref="B33:C33"/>
    <mergeCell ref="B34:C34"/>
    <mergeCell ref="B36:C36"/>
    <mergeCell ref="B38:E38"/>
    <mergeCell ref="B35:C35"/>
    <mergeCell ref="B31:C31"/>
    <mergeCell ref="B20:C20"/>
    <mergeCell ref="B21:C21"/>
    <mergeCell ref="B22:C22"/>
    <mergeCell ref="B23:C23"/>
    <mergeCell ref="B24:C24"/>
    <mergeCell ref="B25:C25"/>
    <mergeCell ref="B26:C26"/>
    <mergeCell ref="B27:C27"/>
    <mergeCell ref="B28:C28"/>
    <mergeCell ref="B29:C29"/>
    <mergeCell ref="B30:C30"/>
    <mergeCell ref="B19:C19"/>
    <mergeCell ref="B9:C9"/>
    <mergeCell ref="B11:J11"/>
    <mergeCell ref="B15:C15"/>
    <mergeCell ref="B16:C16"/>
    <mergeCell ref="B17:C17"/>
    <mergeCell ref="B18:C18"/>
    <mergeCell ref="B14:C14"/>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phoneticPr fontId="95" type="noConversion"/>
  <conditionalFormatting sqref="D15:J32">
    <cfRule type="cellIs" dxfId="24" priority="1" operator="lessThan">
      <formula>0.99</formula>
    </cfRule>
  </conditionalFormatting>
  <pageMargins left="0.7" right="0.7" top="0.75" bottom="0.75" header="0" footer="0"/>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4F6E0-34AE-43E3-8EB8-A3AC3D92BCD3}">
  <sheetPr>
    <tabColor theme="9" tint="-0.499984740745262"/>
    <pageSetUpPr fitToPage="1"/>
  </sheetPr>
  <dimension ref="B2:N45"/>
  <sheetViews>
    <sheetView showGridLines="0" topLeftCell="A4" workbookViewId="0">
      <selection activeCell="H9" sqref="H9:J9"/>
    </sheetView>
  </sheetViews>
  <sheetFormatPr defaultColWidth="12.5703125" defaultRowHeight="15.75" customHeight="1" x14ac:dyDescent="0.2"/>
  <cols>
    <col min="1" max="1" width="3.42578125" customWidth="1"/>
    <col min="2" max="2" width="14.140625" customWidth="1"/>
    <col min="3" max="3" width="16.7109375" customWidth="1"/>
    <col min="4" max="4" width="17.28515625" customWidth="1"/>
    <col min="5" max="5" width="14.5703125" customWidth="1"/>
    <col min="6"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Índex!B50</f>
        <v xml:space="preserve">PS4.01_Ind02. </v>
      </c>
      <c r="E4" s="716"/>
      <c r="F4" s="567" t="s">
        <v>194</v>
      </c>
      <c r="G4" s="569"/>
      <c r="H4" s="718" t="str">
        <f>Índex!C50</f>
        <v>Valoració mitjana a la pregunta “Els serveis de suport a l’estudiant (informació, matriculació, tràmits acadèmics, beques, orientació, etc.) m’han ofert un bon assessorament i atenció”</v>
      </c>
      <c r="I4" s="715"/>
      <c r="J4" s="716"/>
    </row>
    <row r="5" spans="2:10" ht="22.5" customHeight="1" x14ac:dyDescent="0.2">
      <c r="B5" s="567" t="s">
        <v>195</v>
      </c>
      <c r="C5" s="569"/>
      <c r="D5" s="718" t="str">
        <f>Índex!F50</f>
        <v>≥3</v>
      </c>
      <c r="E5" s="716"/>
      <c r="F5" s="567" t="s">
        <v>196</v>
      </c>
      <c r="G5" s="569"/>
      <c r="H5" s="718" t="s">
        <v>216</v>
      </c>
      <c r="I5" s="715"/>
      <c r="J5" s="716"/>
    </row>
    <row r="6" spans="2:10" ht="22.5" customHeight="1" x14ac:dyDescent="0.2">
      <c r="B6" s="567" t="s">
        <v>471</v>
      </c>
      <c r="C6" s="569"/>
      <c r="D6" s="718" t="str">
        <f>Índex!H50</f>
        <v>Objectiu de Qualitat. Grups d'interès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22.5" customHeight="1" x14ac:dyDescent="0.2">
      <c r="B8" s="567" t="s">
        <v>465</v>
      </c>
      <c r="C8" s="569"/>
      <c r="D8" s="718" t="str">
        <f>Índex!D50</f>
        <v>Degà</v>
      </c>
      <c r="E8" s="716"/>
      <c r="F8" s="567" t="s">
        <v>472</v>
      </c>
      <c r="G8" s="569"/>
      <c r="H8" s="718" t="str">
        <f>Índex!E50</f>
        <v>Gestora de Qualitat</v>
      </c>
      <c r="I8" s="715"/>
      <c r="J8" s="716"/>
    </row>
    <row r="9" spans="2:10" ht="33" customHeight="1" x14ac:dyDescent="0.2">
      <c r="B9" s="567" t="s">
        <v>461</v>
      </c>
      <c r="C9" s="569"/>
      <c r="D9" s="718" t="str">
        <f>Índex!G50</f>
        <v>PS4.01. Organització Acadèmica</v>
      </c>
      <c r="E9" s="716"/>
      <c r="F9" s="567" t="s">
        <v>467</v>
      </c>
      <c r="G9" s="569"/>
      <c r="H9" s="718" t="s">
        <v>559</v>
      </c>
      <c r="I9" s="715"/>
      <c r="J9" s="716"/>
    </row>
    <row r="10" spans="2:10" ht="7.5" customHeight="1" x14ac:dyDescent="0.2"/>
    <row r="11" spans="2:10" ht="7.5" customHeight="1" x14ac:dyDescent="0.2"/>
    <row r="12" spans="2:10" ht="7.5" customHeight="1" x14ac:dyDescent="0.2"/>
    <row r="13" spans="2:10" ht="22.5" customHeight="1" x14ac:dyDescent="0.2">
      <c r="B13" s="567" t="s">
        <v>468</v>
      </c>
      <c r="C13" s="568"/>
      <c r="D13" s="568"/>
      <c r="E13" s="568"/>
      <c r="F13" s="568"/>
      <c r="G13" s="568"/>
      <c r="H13" s="568"/>
      <c r="I13" s="568"/>
      <c r="J13" s="569"/>
    </row>
    <row r="14" spans="2:10" ht="22.5" customHeight="1" x14ac:dyDescent="0.2">
      <c r="B14" s="13"/>
      <c r="C14" s="12"/>
      <c r="D14" s="12"/>
      <c r="E14" s="12"/>
      <c r="F14" s="12"/>
      <c r="G14" s="12"/>
      <c r="H14" s="12"/>
      <c r="I14" s="12"/>
      <c r="J14" s="12"/>
    </row>
    <row r="15" spans="2:10" ht="22.5" customHeight="1" x14ac:dyDescent="0.2"/>
    <row r="16" spans="2:10" ht="22.5" customHeight="1" x14ac:dyDescent="0.2">
      <c r="B16" s="965"/>
      <c r="C16" s="966"/>
      <c r="D16" s="89" t="s">
        <v>200</v>
      </c>
      <c r="E16" s="89" t="s">
        <v>201</v>
      </c>
      <c r="F16" s="89" t="s">
        <v>202</v>
      </c>
      <c r="G16" s="78" t="s">
        <v>203</v>
      </c>
      <c r="H16" s="78" t="s">
        <v>204</v>
      </c>
      <c r="I16" s="78" t="s">
        <v>205</v>
      </c>
    </row>
    <row r="17" spans="2:14" ht="41.25" customHeight="1" x14ac:dyDescent="0.2">
      <c r="B17" s="739" t="s">
        <v>218</v>
      </c>
      <c r="C17" s="739"/>
      <c r="D17" s="81">
        <v>3.82</v>
      </c>
      <c r="E17" s="81" t="s">
        <v>213</v>
      </c>
      <c r="F17" s="81">
        <v>3.75</v>
      </c>
      <c r="G17" s="81">
        <v>3.8</v>
      </c>
      <c r="H17" s="321">
        <v>3.76</v>
      </c>
      <c r="I17" s="321">
        <v>3.46</v>
      </c>
      <c r="J17" s="97"/>
    </row>
    <row r="18" spans="2:14" ht="41.25" customHeight="1" x14ac:dyDescent="0.2">
      <c r="B18" s="739" t="s">
        <v>235</v>
      </c>
      <c r="C18" s="739"/>
      <c r="D18" s="81" t="s">
        <v>264</v>
      </c>
      <c r="E18" s="81" t="s">
        <v>213</v>
      </c>
      <c r="F18" s="81">
        <v>3</v>
      </c>
      <c r="G18" s="81">
        <v>2</v>
      </c>
      <c r="H18" s="321">
        <v>2.86</v>
      </c>
      <c r="I18" s="321">
        <v>2.83</v>
      </c>
      <c r="J18" s="97"/>
    </row>
    <row r="19" spans="2:14" ht="41.25" customHeight="1" x14ac:dyDescent="0.2">
      <c r="B19" s="739" t="s">
        <v>262</v>
      </c>
      <c r="C19" s="739"/>
      <c r="D19" s="81" t="s">
        <v>264</v>
      </c>
      <c r="E19" s="81">
        <v>3.8</v>
      </c>
      <c r="F19" s="81">
        <v>3.83</v>
      </c>
      <c r="G19" s="81">
        <v>3</v>
      </c>
      <c r="H19" s="321">
        <v>4.17</v>
      </c>
      <c r="I19" s="321">
        <v>3.67</v>
      </c>
      <c r="J19" s="97"/>
    </row>
    <row r="20" spans="2:14" ht="41.25" customHeight="1" x14ac:dyDescent="0.2">
      <c r="B20" s="739" t="s">
        <v>221</v>
      </c>
      <c r="C20" s="739"/>
      <c r="D20" s="81">
        <v>2.67</v>
      </c>
      <c r="E20" s="81">
        <v>3.19</v>
      </c>
      <c r="F20" s="81">
        <v>3.92</v>
      </c>
      <c r="G20" s="81">
        <v>2.17</v>
      </c>
      <c r="H20" s="321">
        <v>3.52</v>
      </c>
      <c r="I20" s="321">
        <v>3.6</v>
      </c>
      <c r="J20" s="97"/>
    </row>
    <row r="21" spans="2:14" ht="41.25" customHeight="1" x14ac:dyDescent="0.2">
      <c r="B21" s="739" t="s">
        <v>294</v>
      </c>
      <c r="C21" s="739"/>
      <c r="D21" s="81" t="s">
        <v>264</v>
      </c>
      <c r="E21" s="81" t="s">
        <v>213</v>
      </c>
      <c r="F21" s="81" t="s">
        <v>213</v>
      </c>
      <c r="G21" s="81">
        <v>4</v>
      </c>
      <c r="H21" s="321">
        <v>3.56</v>
      </c>
      <c r="I21" s="321">
        <v>3.57</v>
      </c>
      <c r="J21" s="97"/>
      <c r="K21" s="20"/>
      <c r="L21" s="25"/>
      <c r="M21" s="25"/>
    </row>
    <row r="22" spans="2:14" ht="41.25" customHeight="1" x14ac:dyDescent="0.2">
      <c r="B22" s="813" t="s">
        <v>295</v>
      </c>
      <c r="C22" s="814"/>
      <c r="D22" s="81">
        <v>3.63</v>
      </c>
      <c r="E22" s="81">
        <v>3.86</v>
      </c>
      <c r="F22" s="81" t="s">
        <v>213</v>
      </c>
      <c r="G22" s="81">
        <v>3.5</v>
      </c>
      <c r="H22" s="321">
        <v>4</v>
      </c>
      <c r="I22" s="321">
        <v>3.5</v>
      </c>
      <c r="J22" s="97"/>
      <c r="K22" s="20"/>
      <c r="L22" s="25"/>
      <c r="M22" s="25"/>
    </row>
    <row r="23" spans="2:14" ht="41.25" customHeight="1" x14ac:dyDescent="0.2">
      <c r="B23" s="739" t="s">
        <v>224</v>
      </c>
      <c r="C23" s="739"/>
      <c r="D23" s="81">
        <v>1.8</v>
      </c>
      <c r="E23" s="81" t="s">
        <v>213</v>
      </c>
      <c r="F23" s="81" t="s">
        <v>213</v>
      </c>
      <c r="G23" s="81" t="s">
        <v>213</v>
      </c>
      <c r="H23" s="321">
        <v>3.71</v>
      </c>
      <c r="I23" s="321" t="s">
        <v>213</v>
      </c>
      <c r="J23" s="97"/>
      <c r="K23" s="20"/>
      <c r="L23" s="25"/>
      <c r="M23" s="25"/>
    </row>
    <row r="24" spans="2:14" ht="41.25" customHeight="1" x14ac:dyDescent="0.2">
      <c r="B24" s="739" t="s">
        <v>225</v>
      </c>
      <c r="C24" s="739"/>
      <c r="D24" s="438" t="s">
        <v>264</v>
      </c>
      <c r="E24" s="438" t="s">
        <v>264</v>
      </c>
      <c r="F24" s="438" t="s">
        <v>264</v>
      </c>
      <c r="G24" s="438" t="s">
        <v>264</v>
      </c>
      <c r="H24" s="366">
        <v>4.17</v>
      </c>
      <c r="I24" s="321">
        <v>3.92</v>
      </c>
      <c r="J24" s="97"/>
      <c r="K24" s="20"/>
      <c r="L24" s="25"/>
      <c r="M24" s="25"/>
    </row>
    <row r="25" spans="2:14" ht="41.25" customHeight="1" x14ac:dyDescent="0.2">
      <c r="B25" s="739" t="s">
        <v>226</v>
      </c>
      <c r="C25" s="739"/>
      <c r="D25" s="81">
        <v>3.4</v>
      </c>
      <c r="E25" s="81">
        <v>3.21</v>
      </c>
      <c r="F25" s="81">
        <v>3.36</v>
      </c>
      <c r="G25" s="81">
        <v>4</v>
      </c>
      <c r="H25" s="321">
        <v>3.87</v>
      </c>
      <c r="I25" s="321">
        <v>3.43</v>
      </c>
      <c r="J25" s="26"/>
    </row>
    <row r="26" spans="2:14" ht="41.25" customHeight="1" x14ac:dyDescent="0.2">
      <c r="B26" s="739" t="s">
        <v>227</v>
      </c>
      <c r="C26" s="739"/>
      <c r="D26" s="81">
        <v>2.73</v>
      </c>
      <c r="E26" s="81">
        <v>3.11</v>
      </c>
      <c r="F26" s="81">
        <v>3.4</v>
      </c>
      <c r="G26" s="81">
        <v>4</v>
      </c>
      <c r="H26" s="321">
        <v>3.82</v>
      </c>
      <c r="I26" s="321">
        <v>2.93</v>
      </c>
      <c r="J26" s="27"/>
      <c r="K26" s="50"/>
      <c r="L26" s="50"/>
      <c r="M26" s="50"/>
      <c r="N26" s="50"/>
    </row>
    <row r="27" spans="2:14" ht="41.25" customHeight="1" x14ac:dyDescent="0.2">
      <c r="B27" s="739" t="s">
        <v>228</v>
      </c>
      <c r="C27" s="739"/>
      <c r="D27" s="81">
        <v>2.65</v>
      </c>
      <c r="E27" s="81">
        <v>3.37</v>
      </c>
      <c r="F27" s="81">
        <v>3.08</v>
      </c>
      <c r="G27" s="81">
        <v>4.25</v>
      </c>
      <c r="H27" s="321">
        <v>3.58</v>
      </c>
      <c r="I27" s="321">
        <v>3.59</v>
      </c>
      <c r="J27" s="27"/>
      <c r="K27" s="50"/>
      <c r="L27" s="50"/>
      <c r="M27" s="50"/>
      <c r="N27" s="50"/>
    </row>
    <row r="28" spans="2:14" ht="22.5" customHeight="1" x14ac:dyDescent="0.2">
      <c r="B28" s="978" t="str">
        <f>D5</f>
        <v>≥3</v>
      </c>
      <c r="C28" s="978"/>
      <c r="D28" s="98">
        <f t="shared" ref="D28:I28" si="0">COUNTIF(D17:D27,"&gt;="&amp;D30)</f>
        <v>3</v>
      </c>
      <c r="E28" s="98">
        <f t="shared" si="0"/>
        <v>6</v>
      </c>
      <c r="F28" s="98">
        <f t="shared" si="0"/>
        <v>7</v>
      </c>
      <c r="G28" s="98">
        <f t="shared" si="0"/>
        <v>7</v>
      </c>
      <c r="H28" s="98">
        <f t="shared" si="0"/>
        <v>10</v>
      </c>
      <c r="I28" s="98">
        <f t="shared" si="0"/>
        <v>8</v>
      </c>
    </row>
    <row r="29" spans="2:14" ht="22.5" customHeight="1" x14ac:dyDescent="0.2">
      <c r="B29" s="734" t="s">
        <v>248</v>
      </c>
      <c r="C29" s="734"/>
      <c r="D29" s="15">
        <f t="shared" ref="D29:I29" si="1">COUNT(D17:D27)</f>
        <v>7</v>
      </c>
      <c r="E29" s="15">
        <f t="shared" si="1"/>
        <v>6</v>
      </c>
      <c r="F29" s="15">
        <f t="shared" si="1"/>
        <v>7</v>
      </c>
      <c r="G29" s="15">
        <f t="shared" si="1"/>
        <v>9</v>
      </c>
      <c r="H29" s="15">
        <f t="shared" si="1"/>
        <v>11</v>
      </c>
      <c r="I29" s="15">
        <f t="shared" si="1"/>
        <v>10</v>
      </c>
    </row>
    <row r="30" spans="2:14" ht="22.5" customHeight="1" x14ac:dyDescent="0.2">
      <c r="B30" s="910" t="s">
        <v>380</v>
      </c>
      <c r="C30" s="911"/>
      <c r="D30" s="65">
        <v>3</v>
      </c>
      <c r="E30" s="65">
        <v>3</v>
      </c>
      <c r="F30" s="65">
        <v>3</v>
      </c>
      <c r="G30" s="65">
        <v>3</v>
      </c>
      <c r="H30" s="65">
        <v>3</v>
      </c>
      <c r="I30" s="65">
        <v>3</v>
      </c>
    </row>
    <row r="31" spans="2:14" ht="22.5" customHeight="1" x14ac:dyDescent="0.2">
      <c r="B31" s="799" t="s">
        <v>208</v>
      </c>
      <c r="C31" s="879"/>
      <c r="D31" s="43">
        <f t="shared" ref="D31:I31" si="2">D28/D29</f>
        <v>0.42857142857142855</v>
      </c>
      <c r="E31" s="43">
        <f t="shared" si="2"/>
        <v>1</v>
      </c>
      <c r="F31" s="43">
        <f t="shared" si="2"/>
        <v>1</v>
      </c>
      <c r="G31" s="43">
        <f t="shared" si="2"/>
        <v>0.77777777777777779</v>
      </c>
      <c r="H31" s="43">
        <f t="shared" si="2"/>
        <v>0.90909090909090906</v>
      </c>
      <c r="I31" s="43">
        <f t="shared" si="2"/>
        <v>0.8</v>
      </c>
    </row>
    <row r="32" spans="2:14" ht="22.5" customHeight="1" x14ac:dyDescent="0.25">
      <c r="B32" s="7"/>
      <c r="C32" s="7"/>
      <c r="D32" s="6"/>
      <c r="E32" s="6"/>
      <c r="F32" s="6"/>
      <c r="G32" s="6"/>
      <c r="H32" s="6"/>
      <c r="I32" s="6"/>
      <c r="J32" s="6"/>
    </row>
    <row r="33" spans="2:14" ht="22.5" customHeight="1" x14ac:dyDescent="0.2">
      <c r="B33" s="567" t="s">
        <v>469</v>
      </c>
      <c r="C33" s="568"/>
      <c r="D33" s="568"/>
      <c r="E33" s="569"/>
      <c r="F33" s="8"/>
      <c r="K33" s="633" t="s">
        <v>470</v>
      </c>
      <c r="L33" s="634"/>
      <c r="M33" s="634"/>
      <c r="N33" s="635"/>
    </row>
    <row r="34" spans="2:14" ht="22.5" customHeight="1" x14ac:dyDescent="0.2">
      <c r="B34" s="8"/>
      <c r="C34" s="8"/>
      <c r="D34" s="8"/>
      <c r="E34" s="8"/>
      <c r="F34" s="8"/>
      <c r="K34" s="970" t="s">
        <v>625</v>
      </c>
      <c r="L34" s="971"/>
      <c r="M34" s="971"/>
      <c r="N34" s="972"/>
    </row>
    <row r="35" spans="2:14" ht="6" customHeight="1" x14ac:dyDescent="0.2">
      <c r="B35" s="8"/>
      <c r="C35" s="8"/>
      <c r="D35" s="8"/>
      <c r="E35" s="8"/>
      <c r="F35" s="8"/>
      <c r="K35" s="973"/>
      <c r="L35" s="900"/>
      <c r="M35" s="900"/>
      <c r="N35" s="974"/>
    </row>
    <row r="36" spans="2:14" ht="19.5" customHeight="1" x14ac:dyDescent="0.2">
      <c r="B36" s="8"/>
      <c r="C36" s="8"/>
      <c r="D36" s="8"/>
      <c r="E36" s="8"/>
      <c r="F36" s="8"/>
      <c r="K36" s="973"/>
      <c r="L36" s="900"/>
      <c r="M36" s="900"/>
      <c r="N36" s="974"/>
    </row>
    <row r="37" spans="2:14" ht="19.5" customHeight="1" x14ac:dyDescent="0.2">
      <c r="K37" s="973"/>
      <c r="L37" s="900"/>
      <c r="M37" s="900"/>
      <c r="N37" s="974"/>
    </row>
    <row r="38" spans="2:14" ht="19.5" customHeight="1" x14ac:dyDescent="0.2">
      <c r="K38" s="973"/>
      <c r="L38" s="900"/>
      <c r="M38" s="900"/>
      <c r="N38" s="974"/>
    </row>
    <row r="39" spans="2:14" ht="19.5" customHeight="1" x14ac:dyDescent="0.2">
      <c r="K39" s="973"/>
      <c r="L39" s="900"/>
      <c r="M39" s="900"/>
      <c r="N39" s="974"/>
    </row>
    <row r="40" spans="2:14" ht="19.5" customHeight="1" x14ac:dyDescent="0.2">
      <c r="K40" s="973"/>
      <c r="L40" s="900"/>
      <c r="M40" s="900"/>
      <c r="N40" s="974"/>
    </row>
    <row r="41" spans="2:14" ht="19.5" customHeight="1" x14ac:dyDescent="0.2">
      <c r="K41" s="973"/>
      <c r="L41" s="900"/>
      <c r="M41" s="900"/>
      <c r="N41" s="974"/>
    </row>
    <row r="42" spans="2:14" ht="19.5" customHeight="1" x14ac:dyDescent="0.2">
      <c r="K42" s="973"/>
      <c r="L42" s="900"/>
      <c r="M42" s="900"/>
      <c r="N42" s="974"/>
    </row>
    <row r="43" spans="2:14" ht="19.5" customHeight="1" x14ac:dyDescent="0.2">
      <c r="K43" s="975"/>
      <c r="L43" s="976"/>
      <c r="M43" s="976"/>
      <c r="N43" s="977"/>
    </row>
    <row r="44" spans="2:14" ht="19.5" customHeight="1" x14ac:dyDescent="0.2"/>
    <row r="45" spans="2:14" ht="19.5" customHeight="1" x14ac:dyDescent="0.2">
      <c r="H45" s="559" t="s">
        <v>155</v>
      </c>
      <c r="I45" s="560"/>
      <c r="J45" s="560"/>
    </row>
  </sheetData>
  <sheetProtection formatCells="0" formatColumns="0" formatRows="0" insertColumns="0" insertRows="0" insertHyperlinks="0" deleteRows="0" pivotTables="0"/>
  <mergeCells count="47">
    <mergeCell ref="B5:C5"/>
    <mergeCell ref="D5:E5"/>
    <mergeCell ref="F5:G5"/>
    <mergeCell ref="H5:J5"/>
    <mergeCell ref="B7:C7"/>
    <mergeCell ref="H6:J6"/>
    <mergeCell ref="B6:C6"/>
    <mergeCell ref="D6:E6"/>
    <mergeCell ref="F6:G6"/>
    <mergeCell ref="B2:D2"/>
    <mergeCell ref="E2:J2"/>
    <mergeCell ref="B4:C4"/>
    <mergeCell ref="D4:E4"/>
    <mergeCell ref="F4:G4"/>
    <mergeCell ref="H4:J4"/>
    <mergeCell ref="H8:J8"/>
    <mergeCell ref="B23:C23"/>
    <mergeCell ref="H7:J7"/>
    <mergeCell ref="B8:C8"/>
    <mergeCell ref="D8:E8"/>
    <mergeCell ref="F8:G8"/>
    <mergeCell ref="D7:E7"/>
    <mergeCell ref="F7:G7"/>
    <mergeCell ref="D9:E9"/>
    <mergeCell ref="F9:G9"/>
    <mergeCell ref="H9:J9"/>
    <mergeCell ref="B9:C9"/>
    <mergeCell ref="B16:C16"/>
    <mergeCell ref="B24:C24"/>
    <mergeCell ref="B25:C25"/>
    <mergeCell ref="B26:C26"/>
    <mergeCell ref="B13:J13"/>
    <mergeCell ref="B17:C17"/>
    <mergeCell ref="B18:C18"/>
    <mergeCell ref="B19:C19"/>
    <mergeCell ref="B20:C20"/>
    <mergeCell ref="B21:C21"/>
    <mergeCell ref="B22:C22"/>
    <mergeCell ref="K33:N33"/>
    <mergeCell ref="K34:N43"/>
    <mergeCell ref="B30:C30"/>
    <mergeCell ref="H45:J45"/>
    <mergeCell ref="B27:C27"/>
    <mergeCell ref="B28:C28"/>
    <mergeCell ref="B29:C29"/>
    <mergeCell ref="B31:C31"/>
    <mergeCell ref="B33:E33"/>
  </mergeCells>
  <conditionalFormatting sqref="D17:I27">
    <cfRule type="cellIs" dxfId="23" priority="2" operator="between">
      <formula>0</formula>
      <formula>2.7</formula>
    </cfRule>
  </conditionalFormatting>
  <pageMargins left="0.7" right="0.7" top="0.75" bottom="0.75" header="0" footer="0"/>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C618C-017F-4DAC-8004-CB32861675F3}">
  <sheetPr>
    <tabColor theme="9" tint="-0.499984740745262"/>
    <pageSetUpPr fitToPage="1"/>
  </sheetPr>
  <dimension ref="B2:J31"/>
  <sheetViews>
    <sheetView showGridLines="0" workbookViewId="0">
      <selection activeCell="H8" sqref="H8"/>
    </sheetView>
  </sheetViews>
  <sheetFormatPr defaultColWidth="12.5703125" defaultRowHeight="15.75" customHeight="1" x14ac:dyDescent="0.2"/>
  <cols>
    <col min="1" max="1" width="3.42578125" customWidth="1"/>
    <col min="2" max="2" width="14.140625" customWidth="1"/>
    <col min="3" max="3" width="17.42578125" customWidth="1"/>
    <col min="4" max="4" width="23.7109375" customWidth="1"/>
    <col min="5" max="5" width="24.28515625" customWidth="1"/>
    <col min="6" max="6" width="12.5703125" customWidth="1"/>
    <col min="7" max="7" width="59" customWidth="1"/>
    <col min="8" max="8" width="12" customWidth="1"/>
    <col min="9" max="9" width="10.7109375" customWidth="1"/>
    <col min="10" max="10" width="14" customWidth="1"/>
    <col min="11" max="17"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row>
    <row r="4" spans="2:10" ht="42" customHeight="1" x14ac:dyDescent="0.2">
      <c r="B4" s="788" t="s">
        <v>193</v>
      </c>
      <c r="C4" s="885"/>
      <c r="D4" s="541" t="str">
        <f>Índex!B51</f>
        <v xml:space="preserve">PS4.02_Ind01. </v>
      </c>
      <c r="E4" s="230" t="s">
        <v>194</v>
      </c>
      <c r="F4" s="800" t="str">
        <f>Índex!C51</f>
        <v>Percentatge de Taules de Mesures Correctores (TMC) retornades respecte de les TMC emeses</v>
      </c>
      <c r="G4" s="882"/>
    </row>
    <row r="5" spans="2:10" ht="22.5" customHeight="1" x14ac:dyDescent="0.2">
      <c r="B5" s="788" t="s">
        <v>285</v>
      </c>
      <c r="C5" s="885"/>
      <c r="D5" s="548">
        <f>Índex!F51</f>
        <v>1</v>
      </c>
      <c r="E5" s="545" t="s">
        <v>196</v>
      </c>
      <c r="F5" s="881" t="s">
        <v>216</v>
      </c>
      <c r="G5" s="882"/>
    </row>
    <row r="6" spans="2:10" ht="39.75" customHeight="1" x14ac:dyDescent="0.2">
      <c r="B6" s="230" t="s">
        <v>471</v>
      </c>
      <c r="C6" s="544"/>
      <c r="D6" s="548" t="str">
        <f>Índex!D51</f>
        <v>Degà</v>
      </c>
      <c r="E6" s="545" t="s">
        <v>635</v>
      </c>
      <c r="F6" s="881"/>
      <c r="G6" s="881"/>
    </row>
    <row r="7" spans="2:10" ht="39.75" customHeight="1" x14ac:dyDescent="0.2">
      <c r="B7" s="230" t="s">
        <v>463</v>
      </c>
      <c r="C7" s="544"/>
      <c r="D7" s="548"/>
      <c r="E7" s="545" t="s">
        <v>464</v>
      </c>
      <c r="F7" s="960" t="s">
        <v>198</v>
      </c>
      <c r="G7" s="962"/>
    </row>
    <row r="8" spans="2:10" ht="39.75" customHeight="1" x14ac:dyDescent="0.2">
      <c r="B8" s="788" t="s">
        <v>465</v>
      </c>
      <c r="C8" s="885"/>
      <c r="D8" s="548" t="str">
        <f>Índex!D51</f>
        <v>Degà</v>
      </c>
      <c r="E8" s="230" t="s">
        <v>637</v>
      </c>
      <c r="F8" s="800" t="str">
        <f>Índex!$E51</f>
        <v>Administradora de Centre</v>
      </c>
      <c r="G8" s="800"/>
    </row>
    <row r="9" spans="2:10" ht="53.25" customHeight="1" x14ac:dyDescent="0.2">
      <c r="B9" s="230" t="s">
        <v>461</v>
      </c>
      <c r="C9" s="544"/>
      <c r="D9" s="541" t="str">
        <f>Índex!G51</f>
        <v>PS4.02. Gestió de la Política de PAS</v>
      </c>
      <c r="E9" s="545" t="s">
        <v>467</v>
      </c>
      <c r="F9" s="979" t="s">
        <v>640</v>
      </c>
      <c r="G9" s="698"/>
    </row>
    <row r="10" spans="2:10" ht="7.5" customHeight="1" x14ac:dyDescent="0.2"/>
    <row r="11" spans="2:10" ht="22.5" customHeight="1" x14ac:dyDescent="0.2">
      <c r="B11" s="567" t="s">
        <v>468</v>
      </c>
      <c r="C11" s="568"/>
      <c r="D11" s="568"/>
      <c r="E11" s="568"/>
      <c r="F11" s="568"/>
      <c r="G11" s="569"/>
    </row>
    <row r="12" spans="2:10" ht="22.5" customHeight="1" x14ac:dyDescent="0.2">
      <c r="B12" s="13"/>
      <c r="C12" s="12"/>
      <c r="D12" s="12"/>
      <c r="E12" s="12"/>
      <c r="F12" s="12"/>
      <c r="G12" s="12"/>
    </row>
    <row r="13" spans="2:10" ht="22.5" customHeight="1" x14ac:dyDescent="0.2">
      <c r="D13" s="84" t="s">
        <v>200</v>
      </c>
      <c r="E13" s="84" t="s">
        <v>201</v>
      </c>
      <c r="F13" s="84" t="s">
        <v>202</v>
      </c>
      <c r="G13" s="84" t="s">
        <v>203</v>
      </c>
      <c r="H13" s="84" t="s">
        <v>204</v>
      </c>
      <c r="I13" s="513" t="s">
        <v>205</v>
      </c>
      <c r="J13" s="84" t="s">
        <v>256</v>
      </c>
    </row>
    <row r="14" spans="2:10" ht="22.5" customHeight="1" thickBot="1" x14ac:dyDescent="0.25">
      <c r="C14" s="63" t="s">
        <v>381</v>
      </c>
      <c r="D14" s="202">
        <v>12</v>
      </c>
      <c r="E14" s="28">
        <v>11</v>
      </c>
      <c r="F14" s="28">
        <v>11</v>
      </c>
      <c r="G14" s="28">
        <v>2</v>
      </c>
      <c r="H14" s="125">
        <v>7</v>
      </c>
      <c r="I14" s="514">
        <v>7</v>
      </c>
      <c r="J14" s="28">
        <v>7</v>
      </c>
    </row>
    <row r="15" spans="2:10" ht="22.5" customHeight="1" thickBot="1" x14ac:dyDescent="0.25">
      <c r="C15" s="63" t="s">
        <v>382</v>
      </c>
      <c r="D15" s="28">
        <v>10</v>
      </c>
      <c r="E15" s="28">
        <v>11</v>
      </c>
      <c r="F15" s="28">
        <v>11</v>
      </c>
      <c r="G15" s="28">
        <v>2</v>
      </c>
      <c r="H15" s="125">
        <v>6</v>
      </c>
      <c r="I15" s="514">
        <v>7</v>
      </c>
      <c r="J15" s="28">
        <v>7</v>
      </c>
    </row>
    <row r="16" spans="2:10" ht="22.5" customHeight="1" x14ac:dyDescent="0.2">
      <c r="B16" s="27" t="s">
        <v>155</v>
      </c>
      <c r="C16" s="40" t="s">
        <v>208</v>
      </c>
      <c r="D16" s="47">
        <f t="shared" ref="D16:I16" si="0">D15/D14</f>
        <v>0.83333333333333337</v>
      </c>
      <c r="E16" s="47">
        <f t="shared" si="0"/>
        <v>1</v>
      </c>
      <c r="F16" s="47">
        <f t="shared" si="0"/>
        <v>1</v>
      </c>
      <c r="G16" s="47">
        <f t="shared" si="0"/>
        <v>1</v>
      </c>
      <c r="H16" s="47">
        <f t="shared" si="0"/>
        <v>0.8571428571428571</v>
      </c>
      <c r="I16" s="515">
        <f t="shared" si="0"/>
        <v>1</v>
      </c>
      <c r="J16" s="154">
        <v>1</v>
      </c>
    </row>
    <row r="17" spans="2:10" ht="22.5" customHeight="1" x14ac:dyDescent="0.2">
      <c r="B17" s="58"/>
      <c r="C17" s="155" t="s">
        <v>277</v>
      </c>
      <c r="D17" s="49">
        <v>1</v>
      </c>
      <c r="E17" s="49">
        <v>1</v>
      </c>
      <c r="F17" s="49">
        <v>1</v>
      </c>
      <c r="G17" s="49">
        <v>1</v>
      </c>
      <c r="H17" s="49">
        <v>1</v>
      </c>
      <c r="I17" s="516">
        <v>1</v>
      </c>
      <c r="J17" s="154">
        <v>1</v>
      </c>
    </row>
    <row r="19" spans="2:10" ht="19.5" customHeight="1" x14ac:dyDescent="0.2">
      <c r="B19" s="567" t="s">
        <v>469</v>
      </c>
      <c r="C19" s="568"/>
      <c r="D19" s="568"/>
      <c r="E19" s="569"/>
      <c r="F19" s="8"/>
      <c r="G19" s="567" t="s">
        <v>470</v>
      </c>
      <c r="H19" s="568"/>
      <c r="I19" s="568"/>
      <c r="J19" s="569"/>
    </row>
    <row r="20" spans="2:10" ht="19.5" customHeight="1" x14ac:dyDescent="0.2">
      <c r="B20" s="8"/>
      <c r="C20" s="8"/>
      <c r="D20" s="8"/>
      <c r="E20" s="8"/>
      <c r="F20" s="8"/>
      <c r="G20" s="9"/>
      <c r="H20" s="9"/>
      <c r="I20" s="9"/>
      <c r="J20" s="9"/>
    </row>
    <row r="21" spans="2:10" ht="19.5" customHeight="1" x14ac:dyDescent="0.2">
      <c r="B21" s="8"/>
      <c r="C21" s="8"/>
      <c r="D21" s="8"/>
      <c r="E21" s="8"/>
      <c r="F21" s="8"/>
      <c r="G21" s="709" t="s">
        <v>383</v>
      </c>
      <c r="H21" s="571"/>
      <c r="I21" s="571"/>
      <c r="J21" s="572"/>
    </row>
    <row r="22" spans="2:10" ht="19.5" customHeight="1" x14ac:dyDescent="0.2">
      <c r="B22" s="8"/>
      <c r="C22" s="8"/>
      <c r="D22" s="8"/>
      <c r="E22" s="8"/>
      <c r="F22" s="8"/>
      <c r="G22" s="573"/>
      <c r="H22" s="574"/>
      <c r="I22" s="574"/>
      <c r="J22" s="575"/>
    </row>
    <row r="23" spans="2:10" ht="19.5" customHeight="1" x14ac:dyDescent="0.2">
      <c r="B23" s="8"/>
      <c r="C23" s="8"/>
      <c r="D23" s="8"/>
      <c r="E23" s="8"/>
      <c r="F23" s="8"/>
      <c r="G23" s="573"/>
      <c r="H23" s="574"/>
      <c r="I23" s="574"/>
      <c r="J23" s="575"/>
    </row>
    <row r="24" spans="2:10" ht="19.5" customHeight="1" x14ac:dyDescent="0.2">
      <c r="B24" s="8"/>
      <c r="C24" s="8"/>
      <c r="D24" s="8"/>
      <c r="E24" s="8"/>
      <c r="F24" s="8"/>
      <c r="G24" s="573"/>
      <c r="H24" s="574"/>
      <c r="I24" s="574"/>
      <c r="J24" s="575"/>
    </row>
    <row r="25" spans="2:10" ht="19.5" customHeight="1" x14ac:dyDescent="0.2">
      <c r="B25" s="8"/>
      <c r="C25" s="8"/>
      <c r="D25" s="8"/>
      <c r="E25" s="8"/>
      <c r="F25" s="8"/>
      <c r="G25" s="573"/>
      <c r="H25" s="574"/>
      <c r="I25" s="574"/>
      <c r="J25" s="575"/>
    </row>
    <row r="26" spans="2:10" ht="19.5" customHeight="1" x14ac:dyDescent="0.2">
      <c r="B26" s="8"/>
      <c r="C26" s="8"/>
      <c r="D26" s="8"/>
      <c r="E26" s="8"/>
      <c r="F26" s="8"/>
      <c r="G26" s="573"/>
      <c r="H26" s="574"/>
      <c r="I26" s="574"/>
      <c r="J26" s="575"/>
    </row>
    <row r="27" spans="2:10" ht="19.5" customHeight="1" x14ac:dyDescent="0.2">
      <c r="B27" s="8"/>
      <c r="C27" s="8"/>
      <c r="D27" s="8"/>
      <c r="E27" s="8"/>
      <c r="F27" s="8"/>
      <c r="G27" s="573"/>
      <c r="H27" s="574"/>
      <c r="I27" s="574"/>
      <c r="J27" s="575"/>
    </row>
    <row r="28" spans="2:10" ht="19.5" customHeight="1" x14ac:dyDescent="0.2">
      <c r="B28" s="8"/>
      <c r="C28" s="8"/>
      <c r="D28" s="8"/>
      <c r="E28" s="8"/>
      <c r="F28" s="8"/>
      <c r="G28" s="573"/>
      <c r="H28" s="574"/>
      <c r="I28" s="574"/>
      <c r="J28" s="575"/>
    </row>
    <row r="29" spans="2:10" ht="19.5" customHeight="1" x14ac:dyDescent="0.2">
      <c r="B29" s="8"/>
      <c r="C29" s="8"/>
      <c r="D29" s="8"/>
      <c r="E29" s="8"/>
      <c r="F29" s="8"/>
      <c r="G29" s="576"/>
      <c r="H29" s="577"/>
      <c r="I29" s="577"/>
      <c r="J29" s="578"/>
    </row>
    <row r="30" spans="2:10" ht="19.5" customHeight="1" x14ac:dyDescent="0.2">
      <c r="H30" s="97" t="s">
        <v>155</v>
      </c>
    </row>
    <row r="31" spans="2:10" ht="19.5" customHeight="1" x14ac:dyDescent="0.2">
      <c r="H31" s="559" t="s">
        <v>155</v>
      </c>
      <c r="I31" s="560"/>
      <c r="J31" s="560"/>
    </row>
  </sheetData>
  <sheetProtection formatCells="0" formatColumns="0" formatRows="0" insertColumns="0" insertRows="0" insertHyperlinks="0" deleteColumns="0" deleteRows="0" pivotTables="0"/>
  <mergeCells count="16">
    <mergeCell ref="F6:G6"/>
    <mergeCell ref="B2:D2"/>
    <mergeCell ref="B4:C4"/>
    <mergeCell ref="F4:G4"/>
    <mergeCell ref="B5:C5"/>
    <mergeCell ref="F5:G5"/>
    <mergeCell ref="E2:J2"/>
    <mergeCell ref="B8:C8"/>
    <mergeCell ref="F7:G7"/>
    <mergeCell ref="F9:G9"/>
    <mergeCell ref="G21:J29"/>
    <mergeCell ref="H31:J31"/>
    <mergeCell ref="F8:G8"/>
    <mergeCell ref="B11:G11"/>
    <mergeCell ref="B19:E19"/>
    <mergeCell ref="G19:J19"/>
  </mergeCells>
  <pageMargins left="0.7" right="0.7" top="0.75" bottom="0.75" header="0" footer="0"/>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EA072-04F7-4DFF-8CCD-8B03E0246C4E}">
  <sheetPr>
    <tabColor theme="9" tint="-0.499984740745262"/>
    <pageSetUpPr fitToPage="1"/>
  </sheetPr>
  <dimension ref="B2:J31"/>
  <sheetViews>
    <sheetView showGridLines="0" workbookViewId="0">
      <selection activeCell="H8" sqref="H8:J8"/>
    </sheetView>
  </sheetViews>
  <sheetFormatPr defaultColWidth="12.5703125" defaultRowHeight="15.75" customHeight="1" x14ac:dyDescent="0.2"/>
  <cols>
    <col min="1" max="1" width="3.42578125" customWidth="1"/>
    <col min="2" max="2" width="14.140625" customWidth="1"/>
    <col min="3" max="3" width="21.5703125" customWidth="1"/>
    <col min="4" max="4" width="17.28515625" bestFit="1" customWidth="1"/>
    <col min="5" max="9" width="12.5703125" customWidth="1"/>
    <col min="10" max="10" width="43.570312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917" t="s">
        <v>193</v>
      </c>
      <c r="C4" s="789"/>
      <c r="D4" s="786" t="str">
        <f>Índex!B52</f>
        <v>PS4.02_Ind02.</v>
      </c>
      <c r="E4" s="787"/>
      <c r="F4" s="917" t="s">
        <v>194</v>
      </c>
      <c r="G4" s="789"/>
      <c r="H4" s="786" t="str">
        <f>Índex!C52</f>
        <v xml:space="preserve"> Percentatge d’informes d’avaluació retornats respecte del total rebuts</v>
      </c>
      <c r="I4" s="787"/>
      <c r="J4" s="787"/>
    </row>
    <row r="5" spans="2:10" ht="22.5" customHeight="1" x14ac:dyDescent="0.2">
      <c r="B5" s="917" t="s">
        <v>285</v>
      </c>
      <c r="C5" s="789"/>
      <c r="D5" s="918">
        <f>Índex!F52</f>
        <v>1</v>
      </c>
      <c r="E5" s="787"/>
      <c r="F5" s="919" t="s">
        <v>196</v>
      </c>
      <c r="G5" s="789"/>
      <c r="H5" s="871" t="s">
        <v>216</v>
      </c>
      <c r="I5" s="787"/>
      <c r="J5" s="787"/>
    </row>
    <row r="6" spans="2:10" ht="35.25" customHeight="1" x14ac:dyDescent="0.2">
      <c r="B6" s="986" t="s">
        <v>636</v>
      </c>
      <c r="C6" s="986"/>
      <c r="D6" s="918" t="str">
        <f>Índex!H52</f>
        <v>Objectiu de Qualitat. Organització i gestió de recursos</v>
      </c>
      <c r="E6" s="787"/>
      <c r="F6" s="919" t="s">
        <v>634</v>
      </c>
      <c r="G6" s="919"/>
      <c r="H6" s="912"/>
      <c r="I6" s="913"/>
      <c r="J6" s="914"/>
    </row>
    <row r="7" spans="2:10" ht="35.25" customHeight="1" x14ac:dyDescent="0.2">
      <c r="B7" s="986" t="s">
        <v>463</v>
      </c>
      <c r="C7" s="986"/>
      <c r="D7" s="984"/>
      <c r="E7" s="985"/>
      <c r="F7" s="919" t="s">
        <v>464</v>
      </c>
      <c r="G7" s="919"/>
      <c r="H7" s="912" t="s">
        <v>198</v>
      </c>
      <c r="I7" s="913"/>
      <c r="J7" s="914"/>
    </row>
    <row r="8" spans="2:10" ht="22.5" customHeight="1" x14ac:dyDescent="0.2">
      <c r="B8" s="917" t="s">
        <v>465</v>
      </c>
      <c r="C8" s="789"/>
      <c r="D8" s="786" t="str">
        <f>Índex!D52</f>
        <v>Degà</v>
      </c>
      <c r="E8" s="787"/>
      <c r="F8" s="917" t="s">
        <v>637</v>
      </c>
      <c r="G8" s="789"/>
      <c r="H8" s="731" t="str">
        <f>Índex!E52</f>
        <v>Administradora de Centre</v>
      </c>
      <c r="I8" s="915"/>
      <c r="J8" s="916"/>
    </row>
    <row r="9" spans="2:10" ht="48" customHeight="1" x14ac:dyDescent="0.2">
      <c r="B9" s="917" t="s">
        <v>461</v>
      </c>
      <c r="C9" s="789"/>
      <c r="D9" s="954" t="str">
        <f>Índex!G52</f>
        <v>PS4.02. Gestió de la Política de PAS</v>
      </c>
      <c r="E9" s="955"/>
      <c r="F9" s="917" t="s">
        <v>467</v>
      </c>
      <c r="G9" s="917"/>
      <c r="H9" s="983" t="s">
        <v>641</v>
      </c>
      <c r="I9" s="787"/>
      <c r="J9" s="787"/>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c r="D13" s="86" t="s">
        <v>201</v>
      </c>
      <c r="E13" s="86" t="s">
        <v>202</v>
      </c>
      <c r="F13" s="86" t="s">
        <v>203</v>
      </c>
      <c r="G13" s="86" t="s">
        <v>204</v>
      </c>
      <c r="H13" s="517" t="s">
        <v>205</v>
      </c>
      <c r="I13" s="517" t="s">
        <v>256</v>
      </c>
      <c r="J13" s="12"/>
    </row>
    <row r="14" spans="2:10" ht="22.5" customHeight="1" x14ac:dyDescent="0.2">
      <c r="C14" s="63" t="s">
        <v>381</v>
      </c>
      <c r="D14" s="63">
        <v>13</v>
      </c>
      <c r="E14" s="63">
        <v>9</v>
      </c>
      <c r="F14" s="63">
        <v>7</v>
      </c>
      <c r="G14" s="63">
        <v>15</v>
      </c>
      <c r="H14" s="63">
        <v>17</v>
      </c>
      <c r="I14" s="11">
        <v>9</v>
      </c>
      <c r="J14" s="12"/>
    </row>
    <row r="15" spans="2:10" ht="22.5" customHeight="1" x14ac:dyDescent="0.2">
      <c r="C15" s="63" t="s">
        <v>382</v>
      </c>
      <c r="D15" s="63">
        <v>13</v>
      </c>
      <c r="E15" s="63">
        <v>9</v>
      </c>
      <c r="F15" s="63">
        <v>7</v>
      </c>
      <c r="G15" s="63">
        <v>12</v>
      </c>
      <c r="H15" s="63">
        <v>17</v>
      </c>
      <c r="I15" s="11">
        <v>9</v>
      </c>
      <c r="J15" s="12"/>
    </row>
    <row r="16" spans="2:10" ht="22.5" customHeight="1" x14ac:dyDescent="0.2">
      <c r="B16" s="27" t="s">
        <v>155</v>
      </c>
      <c r="C16" s="40" t="s">
        <v>208</v>
      </c>
      <c r="D16" s="47">
        <f t="shared" ref="D16:I16" si="0">D15/D14</f>
        <v>1</v>
      </c>
      <c r="E16" s="47">
        <f t="shared" si="0"/>
        <v>1</v>
      </c>
      <c r="F16" s="47">
        <f t="shared" si="0"/>
        <v>1</v>
      </c>
      <c r="G16" s="47">
        <f t="shared" si="0"/>
        <v>0.8</v>
      </c>
      <c r="H16" s="47">
        <f t="shared" si="0"/>
        <v>1</v>
      </c>
      <c r="I16" s="47">
        <f t="shared" si="0"/>
        <v>1</v>
      </c>
    </row>
    <row r="17" spans="2:10" ht="22.5" customHeight="1" x14ac:dyDescent="0.2">
      <c r="B17" s="58"/>
      <c r="C17" s="155" t="s">
        <v>384</v>
      </c>
      <c r="D17" s="49">
        <v>1</v>
      </c>
      <c r="E17" s="49">
        <v>1</v>
      </c>
      <c r="F17" s="49">
        <v>1</v>
      </c>
      <c r="G17" s="49">
        <v>1</v>
      </c>
      <c r="H17" s="49">
        <v>1</v>
      </c>
      <c r="I17" s="49">
        <v>1</v>
      </c>
    </row>
    <row r="19" spans="2:10" ht="22.5" customHeight="1" x14ac:dyDescent="0.2">
      <c r="B19" s="980" t="s">
        <v>469</v>
      </c>
      <c r="C19" s="981"/>
      <c r="D19" s="981"/>
      <c r="E19" s="982"/>
      <c r="F19" s="8"/>
      <c r="G19" s="567" t="s">
        <v>470</v>
      </c>
      <c r="H19" s="568"/>
      <c r="I19" s="568"/>
      <c r="J19" s="569"/>
    </row>
    <row r="20" spans="2:10" ht="22.5" customHeight="1" x14ac:dyDescent="0.2">
      <c r="B20" s="8"/>
      <c r="C20" s="8"/>
      <c r="D20" s="8"/>
      <c r="E20" s="8"/>
      <c r="F20" s="8"/>
      <c r="G20" s="9"/>
      <c r="H20" s="9"/>
      <c r="I20" s="9"/>
      <c r="J20" s="9"/>
    </row>
    <row r="21" spans="2:10" ht="22.5" customHeight="1" x14ac:dyDescent="0.2">
      <c r="B21" s="8"/>
      <c r="C21" s="8"/>
      <c r="D21" s="8"/>
      <c r="E21" s="8"/>
      <c r="F21" s="8"/>
      <c r="G21" s="709" t="s">
        <v>385</v>
      </c>
      <c r="H21" s="571"/>
      <c r="I21" s="571"/>
      <c r="J21" s="572"/>
    </row>
    <row r="22" spans="2:10" ht="6" customHeight="1" x14ac:dyDescent="0.2">
      <c r="B22" s="8"/>
      <c r="C22" s="8"/>
      <c r="D22" s="8"/>
      <c r="E22" s="8"/>
      <c r="F22" s="8"/>
      <c r="G22" s="573"/>
      <c r="H22" s="574"/>
      <c r="I22" s="574"/>
      <c r="J22" s="575"/>
    </row>
    <row r="23" spans="2:10" ht="19.5" customHeight="1" x14ac:dyDescent="0.2">
      <c r="B23" s="8"/>
      <c r="C23" s="8"/>
      <c r="D23" s="8"/>
      <c r="E23" s="8"/>
      <c r="F23" s="8"/>
      <c r="G23" s="573"/>
      <c r="H23" s="574"/>
      <c r="I23" s="574"/>
      <c r="J23" s="575"/>
    </row>
    <row r="24" spans="2:10" ht="19.5" customHeight="1" x14ac:dyDescent="0.2">
      <c r="B24" s="8"/>
      <c r="C24" s="8"/>
      <c r="D24" s="8"/>
      <c r="E24" s="8"/>
      <c r="F24" s="8"/>
      <c r="G24" s="573"/>
      <c r="H24" s="574"/>
      <c r="I24" s="574"/>
      <c r="J24" s="575"/>
    </row>
    <row r="25" spans="2:10" ht="19.5" customHeight="1" x14ac:dyDescent="0.2">
      <c r="B25" s="8"/>
      <c r="C25" s="8"/>
      <c r="D25" s="8"/>
      <c r="E25" s="8"/>
      <c r="F25" s="8"/>
      <c r="G25" s="573"/>
      <c r="H25" s="574"/>
      <c r="I25" s="574"/>
      <c r="J25" s="575"/>
    </row>
    <row r="26" spans="2:10" ht="19.5" customHeight="1" x14ac:dyDescent="0.2">
      <c r="B26" s="8"/>
      <c r="C26" s="8"/>
      <c r="D26" s="8"/>
      <c r="E26" s="8"/>
      <c r="F26" s="8"/>
      <c r="G26" s="573"/>
      <c r="H26" s="574"/>
      <c r="I26" s="574"/>
      <c r="J26" s="575"/>
    </row>
    <row r="27" spans="2:10" ht="19.5" customHeight="1" x14ac:dyDescent="0.2">
      <c r="B27" s="8"/>
      <c r="C27" s="8"/>
      <c r="D27" s="8"/>
      <c r="E27" s="8"/>
      <c r="F27" s="8"/>
      <c r="G27" s="573"/>
      <c r="H27" s="574"/>
      <c r="I27" s="574"/>
      <c r="J27" s="575"/>
    </row>
    <row r="28" spans="2:10" ht="19.5" customHeight="1" x14ac:dyDescent="0.2">
      <c r="B28" s="8"/>
      <c r="C28" s="8"/>
      <c r="D28" s="8"/>
      <c r="E28" s="8"/>
      <c r="F28" s="8"/>
      <c r="G28" s="573"/>
      <c r="H28" s="574"/>
      <c r="I28" s="574"/>
      <c r="J28" s="575"/>
    </row>
    <row r="29" spans="2:10" ht="19.5" customHeight="1" x14ac:dyDescent="0.2">
      <c r="B29" s="8"/>
      <c r="C29" s="8"/>
      <c r="D29" s="8"/>
      <c r="E29" s="8"/>
      <c r="F29" s="8"/>
      <c r="G29" s="576"/>
      <c r="H29" s="577"/>
      <c r="I29" s="577"/>
      <c r="J29" s="578"/>
    </row>
    <row r="30" spans="2:10" ht="19.5" customHeight="1" x14ac:dyDescent="0.2"/>
    <row r="31" spans="2:10" ht="19.5" customHeight="1" x14ac:dyDescent="0.2">
      <c r="H31" s="559" t="s">
        <v>155</v>
      </c>
      <c r="I31" s="560"/>
      <c r="J31" s="560"/>
    </row>
  </sheetData>
  <sheetProtection formatCells="0" formatColumns="0" formatRows="0" insertColumns="0" insertRows="0" insertHyperlinks="0" deleteColumns="0" deleteRows="0" pivotTables="0"/>
  <mergeCells count="31">
    <mergeCell ref="B2:D2"/>
    <mergeCell ref="E2:J2"/>
    <mergeCell ref="B4:C4"/>
    <mergeCell ref="D4:E4"/>
    <mergeCell ref="F4:G4"/>
    <mergeCell ref="H4:J4"/>
    <mergeCell ref="G21:J29"/>
    <mergeCell ref="H31:J31"/>
    <mergeCell ref="B11:J11"/>
    <mergeCell ref="B9:C9"/>
    <mergeCell ref="B5:C5"/>
    <mergeCell ref="D5:E5"/>
    <mergeCell ref="F5:G5"/>
    <mergeCell ref="H5:J5"/>
    <mergeCell ref="B8:C8"/>
    <mergeCell ref="D8:E8"/>
    <mergeCell ref="F8:G8"/>
    <mergeCell ref="B6:C6"/>
    <mergeCell ref="F6:G6"/>
    <mergeCell ref="D6:E6"/>
    <mergeCell ref="B7:C7"/>
    <mergeCell ref="F7:G7"/>
    <mergeCell ref="H6:J6"/>
    <mergeCell ref="H7:J7"/>
    <mergeCell ref="H8:J8"/>
    <mergeCell ref="D9:E9"/>
    <mergeCell ref="B19:E19"/>
    <mergeCell ref="G19:J19"/>
    <mergeCell ref="F9:G9"/>
    <mergeCell ref="H9:J9"/>
    <mergeCell ref="D7:E7"/>
  </mergeCells>
  <pageMargins left="0.7" right="0.7" top="0.75" bottom="0.75" header="0" footer="0"/>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51F8C-90FD-48FA-B0FC-C7218E91DB0F}">
  <sheetPr>
    <tabColor theme="9" tint="-0.499984740745262"/>
    <pageSetUpPr fitToPage="1"/>
  </sheetPr>
  <dimension ref="B2:J30"/>
  <sheetViews>
    <sheetView showGridLines="0" workbookViewId="0">
      <selection activeCell="K10" sqref="K10"/>
    </sheetView>
  </sheetViews>
  <sheetFormatPr defaultColWidth="12.5703125" defaultRowHeight="15.75" customHeight="1" x14ac:dyDescent="0.2"/>
  <cols>
    <col min="1" max="1" width="3.42578125" customWidth="1"/>
    <col min="2" max="2" width="14.140625" customWidth="1"/>
    <col min="3" max="3" width="17.28515625" customWidth="1"/>
    <col min="4" max="4" width="17.28515625" bestFit="1" customWidth="1"/>
    <col min="5" max="9" width="12.5703125" customWidth="1"/>
    <col min="10" max="10" width="41.14062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788" t="s">
        <v>193</v>
      </c>
      <c r="C4" s="885"/>
      <c r="D4" s="800" t="str">
        <f>Índex!B53</f>
        <v>PS4.02_Ind03.</v>
      </c>
      <c r="E4" s="882"/>
      <c r="F4" s="788" t="s">
        <v>194</v>
      </c>
      <c r="G4" s="885"/>
      <c r="H4" s="800" t="str">
        <f>Índex!C53</f>
        <v>Percentatge de queixes i suggeriments respostos dins de termini (15 dies hàbils)</v>
      </c>
      <c r="I4" s="882"/>
      <c r="J4" s="882"/>
    </row>
    <row r="5" spans="2:10" ht="22.5" customHeight="1" x14ac:dyDescent="0.2">
      <c r="B5" s="788" t="s">
        <v>285</v>
      </c>
      <c r="C5" s="885"/>
      <c r="D5" s="987">
        <f>Índex!F53</f>
        <v>1</v>
      </c>
      <c r="E5" s="882"/>
      <c r="F5" s="905" t="s">
        <v>196</v>
      </c>
      <c r="G5" s="885"/>
      <c r="H5" s="881" t="s">
        <v>216</v>
      </c>
      <c r="I5" s="882"/>
      <c r="J5" s="882"/>
    </row>
    <row r="6" spans="2:10" ht="22.5" customHeight="1" x14ac:dyDescent="0.2">
      <c r="B6" s="230" t="s">
        <v>471</v>
      </c>
      <c r="C6" s="544"/>
      <c r="D6" s="987" t="str">
        <f>Índex!H53</f>
        <v>Objectiu de Qualitat. Organització i gestió de recursos</v>
      </c>
      <c r="E6" s="882"/>
      <c r="F6" s="905" t="s">
        <v>634</v>
      </c>
      <c r="G6" s="905"/>
      <c r="H6" s="960"/>
      <c r="I6" s="961"/>
      <c r="J6" s="962"/>
    </row>
    <row r="7" spans="2:10" ht="22.5" customHeight="1" x14ac:dyDescent="0.2">
      <c r="B7" s="230" t="s">
        <v>463</v>
      </c>
      <c r="C7" s="544"/>
      <c r="D7" s="988"/>
      <c r="E7" s="989"/>
      <c r="F7" s="883" t="s">
        <v>642</v>
      </c>
      <c r="G7" s="884"/>
      <c r="H7" s="960" t="s">
        <v>198</v>
      </c>
      <c r="I7" s="961"/>
      <c r="J7" s="962"/>
    </row>
    <row r="8" spans="2:10" ht="39.75" customHeight="1" x14ac:dyDescent="0.2">
      <c r="B8" s="793" t="s">
        <v>465</v>
      </c>
      <c r="C8" s="795"/>
      <c r="D8" s="988" t="str">
        <f>Índex!D53</f>
        <v>Degà</v>
      </c>
      <c r="E8" s="989"/>
      <c r="F8" s="883" t="s">
        <v>637</v>
      </c>
      <c r="G8" s="884"/>
      <c r="H8" s="956" t="str">
        <f>Índex!E53</f>
        <v>Administradora de Centre</v>
      </c>
      <c r="I8" s="957"/>
      <c r="J8" s="958"/>
    </row>
    <row r="9" spans="2:10" ht="55.5" customHeight="1" x14ac:dyDescent="0.2">
      <c r="B9" s="788" t="s">
        <v>461</v>
      </c>
      <c r="C9" s="885"/>
      <c r="D9" s="800" t="str">
        <f>Índex!G53</f>
        <v>PS4.02. Gestió de la Política de PAS</v>
      </c>
      <c r="E9" s="882"/>
      <c r="F9" s="788" t="s">
        <v>643</v>
      </c>
      <c r="G9" s="885"/>
      <c r="H9" s="990" t="s">
        <v>644</v>
      </c>
      <c r="I9" s="990"/>
      <c r="J9" s="990"/>
    </row>
    <row r="10" spans="2:10" ht="7.5" customHeight="1" x14ac:dyDescent="0.2"/>
    <row r="11" spans="2:10" ht="22.5" customHeight="1" x14ac:dyDescent="0.2">
      <c r="B11" s="788" t="s">
        <v>468</v>
      </c>
      <c r="C11" s="789"/>
      <c r="D11" s="789"/>
      <c r="E11" s="789"/>
      <c r="F11" s="789"/>
      <c r="G11" s="789"/>
      <c r="H11" s="789"/>
      <c r="I11" s="789"/>
      <c r="J11" s="789"/>
    </row>
    <row r="12" spans="2:10" ht="22.5" customHeight="1" x14ac:dyDescent="0.2">
      <c r="B12" s="13"/>
      <c r="C12" s="12"/>
      <c r="D12" s="12"/>
      <c r="E12" s="12"/>
      <c r="F12" s="12"/>
      <c r="G12" s="12"/>
      <c r="H12" s="12"/>
      <c r="I12" s="12"/>
      <c r="J12" s="12"/>
    </row>
    <row r="13" spans="2:10" ht="22.5" customHeight="1" x14ac:dyDescent="0.2">
      <c r="D13" s="84" t="s">
        <v>200</v>
      </c>
      <c r="E13" s="84" t="s">
        <v>201</v>
      </c>
      <c r="F13" s="84" t="s">
        <v>202</v>
      </c>
      <c r="G13" s="84" t="s">
        <v>203</v>
      </c>
      <c r="H13" s="84" t="s">
        <v>204</v>
      </c>
      <c r="I13" s="84" t="s">
        <v>205</v>
      </c>
      <c r="J13" s="84" t="s">
        <v>256</v>
      </c>
    </row>
    <row r="14" spans="2:10" ht="22.5" customHeight="1" x14ac:dyDescent="0.3">
      <c r="C14" s="63" t="s">
        <v>371</v>
      </c>
      <c r="D14" s="52">
        <v>0.8</v>
      </c>
      <c r="E14" s="52">
        <v>0.82</v>
      </c>
      <c r="F14" s="52">
        <v>1</v>
      </c>
      <c r="G14" s="52">
        <v>1</v>
      </c>
      <c r="H14" s="52">
        <v>1</v>
      </c>
      <c r="I14" s="52">
        <v>1</v>
      </c>
      <c r="J14" s="518">
        <v>1</v>
      </c>
    </row>
    <row r="15" spans="2:10" ht="22.5" customHeight="1" x14ac:dyDescent="0.2">
      <c r="B15" s="27" t="s">
        <v>155</v>
      </c>
      <c r="C15" s="203" t="s">
        <v>208</v>
      </c>
      <c r="D15" s="54">
        <f t="shared" ref="D15:I15" si="0">D14</f>
        <v>0.8</v>
      </c>
      <c r="E15" s="54">
        <f t="shared" si="0"/>
        <v>0.82</v>
      </c>
      <c r="F15" s="54">
        <f t="shared" si="0"/>
        <v>1</v>
      </c>
      <c r="G15" s="54">
        <f t="shared" si="0"/>
        <v>1</v>
      </c>
      <c r="H15" s="54">
        <f t="shared" si="0"/>
        <v>1</v>
      </c>
      <c r="I15" s="54">
        <f t="shared" si="0"/>
        <v>1</v>
      </c>
      <c r="J15" s="519">
        <v>0.97</v>
      </c>
    </row>
    <row r="16" spans="2:10" ht="22.5" customHeight="1" x14ac:dyDescent="0.2">
      <c r="B16" s="58"/>
      <c r="C16" s="155" t="s">
        <v>384</v>
      </c>
      <c r="D16" s="49">
        <v>1</v>
      </c>
      <c r="E16" s="49">
        <v>1</v>
      </c>
      <c r="F16" s="49">
        <v>1</v>
      </c>
      <c r="G16" s="49">
        <v>1</v>
      </c>
      <c r="H16" s="49">
        <v>1</v>
      </c>
      <c r="I16" s="49">
        <v>1</v>
      </c>
      <c r="J16" s="519">
        <v>0.97</v>
      </c>
    </row>
    <row r="17" spans="2:10" ht="22.5" customHeight="1" x14ac:dyDescent="0.2">
      <c r="B17" s="58"/>
      <c r="C17" s="59"/>
      <c r="D17" s="58"/>
      <c r="E17" s="58"/>
      <c r="F17" s="58"/>
      <c r="G17" s="12"/>
      <c r="J17" s="304"/>
    </row>
    <row r="18" spans="2:10" ht="22.5" customHeight="1" x14ac:dyDescent="0.2">
      <c r="B18" s="567" t="s">
        <v>469</v>
      </c>
      <c r="C18" s="568"/>
      <c r="D18" s="568"/>
      <c r="E18" s="569"/>
      <c r="F18" s="8"/>
      <c r="G18" s="567" t="s">
        <v>470</v>
      </c>
      <c r="H18" s="568"/>
      <c r="I18" s="568"/>
      <c r="J18" s="569"/>
    </row>
    <row r="20" spans="2:10" ht="22.5" customHeight="1" x14ac:dyDescent="0.2">
      <c r="G20" s="709" t="s">
        <v>386</v>
      </c>
      <c r="H20" s="571"/>
      <c r="I20" s="571"/>
      <c r="J20" s="572"/>
    </row>
    <row r="21" spans="2:10" ht="6" customHeight="1" x14ac:dyDescent="0.2">
      <c r="G21" s="573"/>
      <c r="H21" s="574"/>
      <c r="I21" s="574"/>
      <c r="J21" s="575"/>
    </row>
    <row r="22" spans="2:10" ht="19.5" customHeight="1" x14ac:dyDescent="0.2">
      <c r="G22" s="573"/>
      <c r="H22" s="574"/>
      <c r="I22" s="574"/>
      <c r="J22" s="575"/>
    </row>
    <row r="23" spans="2:10" ht="19.5" customHeight="1" x14ac:dyDescent="0.2">
      <c r="G23" s="573"/>
      <c r="H23" s="574"/>
      <c r="I23" s="574"/>
      <c r="J23" s="575"/>
    </row>
    <row r="24" spans="2:10" ht="19.5" customHeight="1" x14ac:dyDescent="0.2">
      <c r="G24" s="573"/>
      <c r="H24" s="574"/>
      <c r="I24" s="574"/>
      <c r="J24" s="575"/>
    </row>
    <row r="25" spans="2:10" ht="19.5" customHeight="1" x14ac:dyDescent="0.2">
      <c r="G25" s="573"/>
      <c r="H25" s="574"/>
      <c r="I25" s="574"/>
      <c r="J25" s="575"/>
    </row>
    <row r="26" spans="2:10" ht="19.5" customHeight="1" x14ac:dyDescent="0.2">
      <c r="G26" s="573"/>
      <c r="H26" s="574"/>
      <c r="I26" s="574"/>
      <c r="J26" s="575"/>
    </row>
    <row r="27" spans="2:10" ht="19.5" customHeight="1" x14ac:dyDescent="0.2">
      <c r="G27" s="573"/>
      <c r="H27" s="574"/>
      <c r="I27" s="574"/>
      <c r="J27" s="575"/>
    </row>
    <row r="28" spans="2:10" ht="19.5" customHeight="1" x14ac:dyDescent="0.2">
      <c r="G28" s="576"/>
      <c r="H28" s="577"/>
      <c r="I28" s="577"/>
      <c r="J28" s="578"/>
    </row>
    <row r="29" spans="2:10" ht="19.5" customHeight="1" x14ac:dyDescent="0.2"/>
    <row r="30" spans="2:10" ht="19.5" customHeight="1" x14ac:dyDescent="0.2">
      <c r="H30" s="559" t="s">
        <v>155</v>
      </c>
      <c r="I30" s="560"/>
      <c r="J30" s="560"/>
    </row>
  </sheetData>
  <sheetProtection formatCells="0" formatColumns="0" formatRows="0" insertColumns="0" insertRows="0" insertHyperlinks="0" deleteColumns="0" deleteRows="0" pivotTables="0"/>
  <mergeCells count="29">
    <mergeCell ref="H30:J30"/>
    <mergeCell ref="B11:J11"/>
    <mergeCell ref="B18:E18"/>
    <mergeCell ref="G18:J18"/>
    <mergeCell ref="G20:J28"/>
    <mergeCell ref="B8:C8"/>
    <mergeCell ref="F8:G8"/>
    <mergeCell ref="D8:E8"/>
    <mergeCell ref="H9:J9"/>
    <mergeCell ref="H8:J8"/>
    <mergeCell ref="B9:C9"/>
    <mergeCell ref="D9:E9"/>
    <mergeCell ref="F9:G9"/>
    <mergeCell ref="B2:D2"/>
    <mergeCell ref="E2:J2"/>
    <mergeCell ref="B4:C4"/>
    <mergeCell ref="D4:E4"/>
    <mergeCell ref="F4:G4"/>
    <mergeCell ref="H4:J4"/>
    <mergeCell ref="H7:J7"/>
    <mergeCell ref="B5:C5"/>
    <mergeCell ref="D5:E5"/>
    <mergeCell ref="F5:G5"/>
    <mergeCell ref="H5:J5"/>
    <mergeCell ref="H6:J6"/>
    <mergeCell ref="F6:G6"/>
    <mergeCell ref="D6:E6"/>
    <mergeCell ref="D7:E7"/>
    <mergeCell ref="F7:G7"/>
  </mergeCells>
  <pageMargins left="0.7" right="0.7" top="0.75" bottom="0.75" header="0" footer="0"/>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213C6-49B4-43D3-ACAA-4AEAEDED5F58}">
  <sheetPr>
    <tabColor theme="9" tint="-0.499984740745262"/>
    <pageSetUpPr fitToPage="1"/>
  </sheetPr>
  <dimension ref="B2:J30"/>
  <sheetViews>
    <sheetView showGridLines="0" zoomScale="90" zoomScaleNormal="90" workbookViewId="0">
      <selection activeCell="H4" sqref="H4:J4"/>
    </sheetView>
  </sheetViews>
  <sheetFormatPr defaultColWidth="12.5703125" defaultRowHeight="15.75" customHeight="1" x14ac:dyDescent="0.2"/>
  <cols>
    <col min="1" max="1" width="3.42578125" customWidth="1"/>
    <col min="2" max="2" width="14.140625" customWidth="1"/>
    <col min="3" max="3" width="16.85546875" customWidth="1"/>
    <col min="4" max="4" width="17.28515625" bestFit="1" customWidth="1"/>
    <col min="5" max="5" width="16.85546875" customWidth="1"/>
    <col min="6" max="9" width="12.5703125" customWidth="1"/>
    <col min="10" max="10" width="47.8554687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991" t="s">
        <v>193</v>
      </c>
      <c r="C4" s="998"/>
      <c r="D4" s="999" t="str">
        <f>Índex!B54</f>
        <v>PS4.02_Ind04.</v>
      </c>
      <c r="E4" s="992"/>
      <c r="F4" s="991" t="s">
        <v>194</v>
      </c>
      <c r="G4" s="998"/>
      <c r="H4" s="999" t="str">
        <f>Índex!C54</f>
        <v xml:space="preserve"> Temps mitjà de resposta igual o inferior a 7,5 dies hàbils de les queixes i els suggeriments (termini màxim: 15 dies hàbils)(PS5.05_Ind02)</v>
      </c>
      <c r="I4" s="992"/>
      <c r="J4" s="992"/>
    </row>
    <row r="5" spans="2:10" ht="22.5" customHeight="1" x14ac:dyDescent="0.2">
      <c r="B5" s="991" t="s">
        <v>285</v>
      </c>
      <c r="C5" s="998"/>
      <c r="D5" s="999">
        <f>Índex!F54</f>
        <v>15</v>
      </c>
      <c r="E5" s="992"/>
      <c r="F5" s="1000" t="s">
        <v>196</v>
      </c>
      <c r="G5" s="998"/>
      <c r="H5" s="1001" t="s">
        <v>216</v>
      </c>
      <c r="I5" s="992"/>
      <c r="J5" s="992"/>
    </row>
    <row r="6" spans="2:10" ht="35.25" customHeight="1" x14ac:dyDescent="0.2">
      <c r="B6" s="991" t="s">
        <v>636</v>
      </c>
      <c r="C6" s="991"/>
      <c r="D6" s="999" t="str">
        <f>Índex!H54</f>
        <v>Objectiu de Qualitat. Organització i gestió de recursos</v>
      </c>
      <c r="E6" s="999"/>
      <c r="F6" s="1000" t="s">
        <v>634</v>
      </c>
      <c r="G6" s="1000"/>
      <c r="H6" s="1001"/>
      <c r="I6" s="1001"/>
      <c r="J6" s="1001"/>
    </row>
    <row r="7" spans="2:10" ht="35.25" customHeight="1" x14ac:dyDescent="0.2">
      <c r="B7" s="991" t="s">
        <v>463</v>
      </c>
      <c r="C7" s="998"/>
      <c r="D7" s="999"/>
      <c r="E7" s="992"/>
      <c r="F7" s="1000" t="s">
        <v>464</v>
      </c>
      <c r="G7" s="1000"/>
      <c r="H7" s="993" t="s">
        <v>198</v>
      </c>
      <c r="I7" s="994"/>
      <c r="J7" s="995"/>
    </row>
    <row r="8" spans="2:10" ht="22.5" customHeight="1" x14ac:dyDescent="0.2">
      <c r="B8" s="991" t="s">
        <v>465</v>
      </c>
      <c r="C8" s="998"/>
      <c r="D8" s="999" t="str">
        <f>Índex!D54</f>
        <v>Degà</v>
      </c>
      <c r="E8" s="992"/>
      <c r="F8" s="991" t="s">
        <v>637</v>
      </c>
      <c r="G8" s="998"/>
      <c r="H8" s="992" t="str">
        <f>Índex!E54</f>
        <v>Administradora de Centre</v>
      </c>
      <c r="I8" s="992"/>
      <c r="J8" s="992"/>
    </row>
    <row r="9" spans="2:10" ht="43.5" customHeight="1" x14ac:dyDescent="0.2">
      <c r="B9" s="991" t="s">
        <v>461</v>
      </c>
      <c r="C9" s="991"/>
      <c r="D9" s="996" t="str">
        <f>Índex!G54</f>
        <v>PS4.02. Gestió de la Política de PAS</v>
      </c>
      <c r="E9" s="997"/>
      <c r="F9" s="549" t="s">
        <v>467</v>
      </c>
      <c r="G9" s="550"/>
      <c r="H9" s="743" t="s">
        <v>644</v>
      </c>
      <c r="I9" s="992"/>
      <c r="J9" s="992"/>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c r="D13" s="84" t="s">
        <v>200</v>
      </c>
      <c r="E13" s="84" t="s">
        <v>201</v>
      </c>
      <c r="F13" s="84" t="s">
        <v>202</v>
      </c>
      <c r="G13" s="84" t="s">
        <v>203</v>
      </c>
      <c r="H13" s="84" t="s">
        <v>204</v>
      </c>
      <c r="I13" s="84" t="s">
        <v>205</v>
      </c>
      <c r="J13" s="84" t="s">
        <v>256</v>
      </c>
    </row>
    <row r="14" spans="2:10" ht="22.5" customHeight="1" x14ac:dyDescent="0.2">
      <c r="C14" s="63" t="s">
        <v>387</v>
      </c>
      <c r="D14" s="28" t="s">
        <v>214</v>
      </c>
      <c r="E14" s="28">
        <v>11.19</v>
      </c>
      <c r="F14" s="28">
        <v>8.0500000000000007</v>
      </c>
      <c r="G14" s="28">
        <v>3.94</v>
      </c>
      <c r="H14" s="28">
        <v>5.72</v>
      </c>
      <c r="I14" s="28">
        <v>3.8</v>
      </c>
      <c r="J14" s="200">
        <v>9</v>
      </c>
    </row>
    <row r="15" spans="2:10" ht="22.5" customHeight="1" x14ac:dyDescent="0.2">
      <c r="B15" s="27" t="s">
        <v>155</v>
      </c>
      <c r="C15" s="40" t="s">
        <v>208</v>
      </c>
      <c r="D15" s="47">
        <f t="shared" ref="D15:I15" si="0">COUNTIF(D14,"&lt;015")</f>
        <v>0</v>
      </c>
      <c r="E15" s="47">
        <f t="shared" si="0"/>
        <v>1</v>
      </c>
      <c r="F15" s="47">
        <f t="shared" si="0"/>
        <v>1</v>
      </c>
      <c r="G15" s="47">
        <f t="shared" si="0"/>
        <v>1</v>
      </c>
      <c r="H15" s="47">
        <f t="shared" si="0"/>
        <v>1</v>
      </c>
      <c r="I15" s="47">
        <f t="shared" si="0"/>
        <v>1</v>
      </c>
      <c r="J15" s="519">
        <v>0.83</v>
      </c>
    </row>
    <row r="16" spans="2:10" ht="22.5" customHeight="1" x14ac:dyDescent="0.2">
      <c r="B16" s="58"/>
      <c r="C16" s="155" t="s">
        <v>384</v>
      </c>
      <c r="D16" s="24">
        <v>15</v>
      </c>
      <c r="E16" s="24">
        <v>15</v>
      </c>
      <c r="F16" s="24">
        <v>15</v>
      </c>
      <c r="G16" s="24">
        <v>15</v>
      </c>
      <c r="H16" s="24">
        <v>15</v>
      </c>
      <c r="I16" s="24">
        <v>15</v>
      </c>
      <c r="J16" s="24">
        <v>15</v>
      </c>
    </row>
    <row r="17" spans="2:10" ht="22.5" customHeight="1" x14ac:dyDescent="0.2">
      <c r="B17" s="58"/>
      <c r="C17" s="59"/>
      <c r="D17" s="58"/>
      <c r="E17" s="58"/>
      <c r="F17" s="58"/>
      <c r="G17" s="12"/>
    </row>
    <row r="18" spans="2:10" ht="22.5" customHeight="1" x14ac:dyDescent="0.2">
      <c r="B18" s="567" t="s">
        <v>469</v>
      </c>
      <c r="C18" s="568"/>
      <c r="D18" s="568"/>
      <c r="E18" s="569"/>
      <c r="F18" s="8"/>
      <c r="G18" s="567" t="s">
        <v>470</v>
      </c>
      <c r="H18" s="568"/>
      <c r="I18" s="568"/>
      <c r="J18" s="569"/>
    </row>
    <row r="20" spans="2:10" ht="22.5" customHeight="1" x14ac:dyDescent="0.2">
      <c r="G20" s="709" t="s">
        <v>386</v>
      </c>
      <c r="H20" s="571"/>
      <c r="I20" s="571"/>
      <c r="J20" s="572"/>
    </row>
    <row r="21" spans="2:10" ht="6" customHeight="1" x14ac:dyDescent="0.2">
      <c r="G21" s="573"/>
      <c r="H21" s="574"/>
      <c r="I21" s="574"/>
      <c r="J21" s="575"/>
    </row>
    <row r="22" spans="2:10" ht="19.5" customHeight="1" x14ac:dyDescent="0.2">
      <c r="G22" s="573"/>
      <c r="H22" s="574"/>
      <c r="I22" s="574"/>
      <c r="J22" s="575"/>
    </row>
    <row r="23" spans="2:10" ht="19.5" customHeight="1" x14ac:dyDescent="0.2">
      <c r="G23" s="573"/>
      <c r="H23" s="574"/>
      <c r="I23" s="574"/>
      <c r="J23" s="575"/>
    </row>
    <row r="24" spans="2:10" ht="19.5" customHeight="1" x14ac:dyDescent="0.2">
      <c r="G24" s="573"/>
      <c r="H24" s="574"/>
      <c r="I24" s="574"/>
      <c r="J24" s="575"/>
    </row>
    <row r="25" spans="2:10" ht="19.5" customHeight="1" x14ac:dyDescent="0.2">
      <c r="G25" s="573"/>
      <c r="H25" s="574"/>
      <c r="I25" s="574"/>
      <c r="J25" s="575"/>
    </row>
    <row r="26" spans="2:10" ht="19.5" customHeight="1" x14ac:dyDescent="0.2">
      <c r="G26" s="573"/>
      <c r="H26" s="574"/>
      <c r="I26" s="574"/>
      <c r="J26" s="575"/>
    </row>
    <row r="27" spans="2:10" ht="19.5" customHeight="1" x14ac:dyDescent="0.2">
      <c r="G27" s="573"/>
      <c r="H27" s="574"/>
      <c r="I27" s="574"/>
      <c r="J27" s="575"/>
    </row>
    <row r="28" spans="2:10" ht="19.5" customHeight="1" x14ac:dyDescent="0.2">
      <c r="G28" s="576"/>
      <c r="H28" s="577"/>
      <c r="I28" s="577"/>
      <c r="J28" s="578"/>
    </row>
    <row r="29" spans="2:10" ht="19.5" customHeight="1" x14ac:dyDescent="0.2"/>
    <row r="30" spans="2:10" ht="19.5" customHeight="1" x14ac:dyDescent="0.2">
      <c r="H30" s="559" t="s">
        <v>155</v>
      </c>
      <c r="I30" s="560"/>
      <c r="J30" s="560"/>
    </row>
  </sheetData>
  <sheetProtection formatCells="0" formatColumns="0" formatRows="0" insertColumns="0" insertRows="0" insertHyperlinks="0" deleteColumns="0" deleteRows="0" pivotTables="0"/>
  <mergeCells count="30">
    <mergeCell ref="H30:J30"/>
    <mergeCell ref="B11:J11"/>
    <mergeCell ref="B18:E18"/>
    <mergeCell ref="G18:J18"/>
    <mergeCell ref="G20:J28"/>
    <mergeCell ref="F8:G8"/>
    <mergeCell ref="F6:G6"/>
    <mergeCell ref="D6:E6"/>
    <mergeCell ref="B6:C6"/>
    <mergeCell ref="H6:J6"/>
    <mergeCell ref="H8:J8"/>
    <mergeCell ref="B7:C7"/>
    <mergeCell ref="D7:E7"/>
    <mergeCell ref="F7:G7"/>
    <mergeCell ref="B9:C9"/>
    <mergeCell ref="H9:J9"/>
    <mergeCell ref="H7:J7"/>
    <mergeCell ref="D9:E9"/>
    <mergeCell ref="B2:D2"/>
    <mergeCell ref="E2:J2"/>
    <mergeCell ref="B4:C4"/>
    <mergeCell ref="D4:E4"/>
    <mergeCell ref="F4:G4"/>
    <mergeCell ref="H4:J4"/>
    <mergeCell ref="B5:C5"/>
    <mergeCell ref="D5:E5"/>
    <mergeCell ref="F5:G5"/>
    <mergeCell ref="H5:J5"/>
    <mergeCell ref="B8:C8"/>
    <mergeCell ref="D8:E8"/>
  </mergeCell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9181-C417-45B4-B3BD-07164E145844}">
  <sheetPr>
    <tabColor theme="9" tint="-0.499984740745262"/>
    <pageSetUpPr fitToPage="1"/>
  </sheetPr>
  <dimension ref="B2:M31"/>
  <sheetViews>
    <sheetView showGridLines="0" workbookViewId="0">
      <selection activeCell="B2" sqref="B2:D2"/>
    </sheetView>
  </sheetViews>
  <sheetFormatPr defaultColWidth="12.5703125" defaultRowHeight="15.75" customHeight="1" x14ac:dyDescent="0.2"/>
  <cols>
    <col min="1" max="1" width="3.42578125" customWidth="1"/>
    <col min="2" max="2" width="14.140625" customWidth="1"/>
    <col min="3" max="3" width="23.85546875" customWidth="1"/>
    <col min="4" max="4" width="12.5703125" customWidth="1"/>
    <col min="5" max="5" width="13.85546875" customWidth="1"/>
    <col min="6" max="8" width="12.5703125" customWidth="1"/>
    <col min="9" max="9" width="17.42578125" bestFit="1" customWidth="1"/>
    <col min="10" max="12" width="8.85546875" customWidth="1"/>
    <col min="13" max="22" width="7.5703125" customWidth="1"/>
  </cols>
  <sheetData>
    <row r="2" spans="2:12" ht="55.5" customHeight="1" x14ac:dyDescent="0.25">
      <c r="B2" s="588"/>
      <c r="C2" s="589"/>
      <c r="D2" s="565"/>
      <c r="E2" s="590" t="s">
        <v>192</v>
      </c>
      <c r="F2" s="589"/>
      <c r="G2" s="589"/>
      <c r="H2" s="589"/>
      <c r="I2" s="565"/>
      <c r="J2" s="3"/>
      <c r="K2" s="3"/>
      <c r="L2" s="3"/>
    </row>
    <row r="3" spans="2:12" ht="22.5" customHeight="1" x14ac:dyDescent="0.25">
      <c r="B3" s="177"/>
      <c r="C3" s="177"/>
      <c r="D3" s="178"/>
      <c r="E3" s="178"/>
      <c r="F3" s="178"/>
      <c r="G3" s="178"/>
      <c r="H3" s="178"/>
      <c r="I3" s="175"/>
    </row>
    <row r="4" spans="2:12" ht="42.75" customHeight="1" x14ac:dyDescent="0.25">
      <c r="B4" s="561" t="s">
        <v>193</v>
      </c>
      <c r="C4" s="563"/>
      <c r="D4" s="587" t="str">
        <f>Índex!B10</f>
        <v>PE1.01_Ind04</v>
      </c>
      <c r="E4" s="565"/>
      <c r="F4" s="459" t="s">
        <v>194</v>
      </c>
      <c r="G4" s="595" t="str">
        <f>Índex!C10</f>
        <v>Percentatge d'assistència, del degà, a les sessions de les Comissions del Rectorat  (Pla Estratègic 2022/2023 fins 2024/2025)</v>
      </c>
      <c r="H4" s="596"/>
      <c r="I4" s="597"/>
    </row>
    <row r="5" spans="2:12" ht="22.5" customHeight="1" x14ac:dyDescent="0.25">
      <c r="B5" s="561" t="s">
        <v>195</v>
      </c>
      <c r="C5" s="563"/>
      <c r="D5" s="598">
        <f>Índex!F10</f>
        <v>0.9</v>
      </c>
      <c r="E5" s="591"/>
      <c r="F5" s="460" t="s">
        <v>196</v>
      </c>
      <c r="G5" s="595" t="s">
        <v>212</v>
      </c>
      <c r="H5" s="596"/>
      <c r="I5" s="597"/>
    </row>
    <row r="6" spans="2:12" ht="31.5" customHeight="1" x14ac:dyDescent="0.2">
      <c r="B6" s="561" t="s">
        <v>471</v>
      </c>
      <c r="C6" s="582"/>
      <c r="D6" s="598" t="str">
        <f>Índex!H10</f>
        <v>Pla Estratègic</v>
      </c>
      <c r="E6" s="605"/>
      <c r="F6" s="460" t="s">
        <v>474</v>
      </c>
      <c r="G6" s="607"/>
      <c r="H6" s="608"/>
      <c r="I6" s="609"/>
    </row>
    <row r="7" spans="2:12" ht="22.5" customHeight="1" x14ac:dyDescent="0.25">
      <c r="B7" s="561" t="s">
        <v>463</v>
      </c>
      <c r="C7" s="563"/>
      <c r="D7" s="587"/>
      <c r="E7" s="565"/>
      <c r="F7" s="459" t="s">
        <v>464</v>
      </c>
      <c r="G7" s="619" t="s">
        <v>198</v>
      </c>
      <c r="H7" s="620"/>
      <c r="I7" s="591"/>
    </row>
    <row r="8" spans="2:12" ht="22.5" customHeight="1" x14ac:dyDescent="0.25">
      <c r="B8" s="561" t="s">
        <v>465</v>
      </c>
      <c r="C8" s="582"/>
      <c r="D8" s="636" t="str">
        <f>Índex!D10</f>
        <v>Degà</v>
      </c>
      <c r="E8" s="639"/>
      <c r="F8" s="459" t="s">
        <v>472</v>
      </c>
      <c r="G8" s="619" t="str">
        <f>Índex!E10</f>
        <v>Gestora de Qualitat</v>
      </c>
      <c r="H8" s="620"/>
      <c r="I8" s="591"/>
    </row>
    <row r="9" spans="2:12" ht="22.5" customHeight="1" x14ac:dyDescent="0.25">
      <c r="B9" s="561" t="s">
        <v>461</v>
      </c>
      <c r="C9" s="563"/>
      <c r="D9" s="636" t="str">
        <f>Índex!G10</f>
        <v xml:space="preserve"> PE1.01. Definició de la Política de Qualitat</v>
      </c>
      <c r="E9" s="637"/>
      <c r="F9" s="459" t="s">
        <v>467</v>
      </c>
      <c r="G9" s="619"/>
      <c r="H9" s="620"/>
      <c r="I9" s="591"/>
      <c r="J9" s="4"/>
    </row>
    <row r="10" spans="2:12" ht="7.5" customHeight="1" x14ac:dyDescent="0.25">
      <c r="B10" s="175"/>
      <c r="C10" s="175"/>
      <c r="D10" s="175"/>
      <c r="E10" s="175"/>
      <c r="F10" s="175"/>
      <c r="G10" s="175"/>
      <c r="H10" s="175"/>
      <c r="I10" s="175"/>
    </row>
    <row r="11" spans="2:12" ht="22.5" customHeight="1" x14ac:dyDescent="0.25">
      <c r="B11" s="561" t="s">
        <v>468</v>
      </c>
      <c r="C11" s="562"/>
      <c r="D11" s="562"/>
      <c r="E11" s="562"/>
      <c r="F11" s="562"/>
      <c r="G11" s="562"/>
      <c r="H11" s="562"/>
      <c r="I11" s="563"/>
      <c r="J11" s="5"/>
    </row>
    <row r="12" spans="2:12" ht="22.5" customHeight="1" x14ac:dyDescent="0.25">
      <c r="B12" s="179"/>
      <c r="C12" s="179"/>
      <c r="D12" s="179"/>
      <c r="E12" s="179"/>
      <c r="F12" s="179"/>
      <c r="G12" s="179"/>
      <c r="H12" s="179"/>
      <c r="I12" s="179"/>
    </row>
    <row r="13" spans="2:12" ht="22.5" customHeight="1" x14ac:dyDescent="0.25">
      <c r="B13" s="179"/>
      <c r="C13" s="179"/>
      <c r="D13" s="180" t="s">
        <v>204</v>
      </c>
      <c r="E13" s="180" t="s">
        <v>205</v>
      </c>
      <c r="F13" s="180" t="s">
        <v>256</v>
      </c>
      <c r="G13" s="179"/>
      <c r="H13" s="179"/>
      <c r="I13" s="179"/>
    </row>
    <row r="14" spans="2:12" ht="23.25" customHeight="1" x14ac:dyDescent="0.25">
      <c r="B14" s="564" t="s">
        <v>206</v>
      </c>
      <c r="C14" s="565"/>
      <c r="D14" s="183">
        <v>0.9</v>
      </c>
      <c r="E14" s="183">
        <v>0.97</v>
      </c>
      <c r="F14" s="183">
        <v>0.98</v>
      </c>
      <c r="G14" s="179"/>
      <c r="H14" s="179"/>
      <c r="I14" s="179"/>
    </row>
    <row r="15" spans="2:12" ht="22.5" customHeight="1" x14ac:dyDescent="0.25">
      <c r="B15" s="566" t="s">
        <v>207</v>
      </c>
      <c r="C15" s="565"/>
      <c r="D15" s="181">
        <f>$D$5</f>
        <v>0.9</v>
      </c>
      <c r="E15" s="181">
        <f>$D$5</f>
        <v>0.9</v>
      </c>
      <c r="F15" s="181">
        <f>$D$5</f>
        <v>0.9</v>
      </c>
      <c r="G15" s="179"/>
      <c r="H15" s="179"/>
      <c r="I15" s="179"/>
    </row>
    <row r="16" spans="2:12" ht="22.5" customHeight="1" x14ac:dyDescent="0.25">
      <c r="B16" s="566" t="s">
        <v>208</v>
      </c>
      <c r="C16" s="565"/>
      <c r="D16" s="183">
        <f>D14/D15</f>
        <v>1</v>
      </c>
      <c r="E16" s="183">
        <f>E14/E15</f>
        <v>1.0777777777777777</v>
      </c>
      <c r="F16" s="183">
        <f>F14/F15</f>
        <v>1.0888888888888888</v>
      </c>
      <c r="G16" s="179"/>
      <c r="H16" s="179"/>
      <c r="I16" s="179"/>
    </row>
    <row r="17" spans="2:13" ht="16.5" x14ac:dyDescent="0.3">
      <c r="B17" s="184"/>
      <c r="C17" s="184"/>
      <c r="D17" s="179"/>
      <c r="E17" s="179"/>
      <c r="F17" s="179"/>
      <c r="G17" s="179"/>
      <c r="H17" s="179"/>
      <c r="I17" s="179"/>
    </row>
    <row r="18" spans="2:13" ht="16.5" x14ac:dyDescent="0.3">
      <c r="B18" s="184"/>
      <c r="C18" s="184"/>
      <c r="D18" s="179"/>
      <c r="E18" s="179"/>
      <c r="F18" s="179"/>
      <c r="G18" s="179"/>
      <c r="H18" s="179"/>
      <c r="I18" s="179"/>
    </row>
    <row r="19" spans="2:13" ht="22.5" customHeight="1" x14ac:dyDescent="0.25">
      <c r="B19" s="561" t="s">
        <v>469</v>
      </c>
      <c r="C19" s="562"/>
      <c r="D19" s="562"/>
      <c r="E19" s="563"/>
      <c r="F19" s="185"/>
      <c r="G19" s="175"/>
      <c r="H19" s="175"/>
      <c r="I19" s="175"/>
      <c r="J19" s="633" t="s">
        <v>470</v>
      </c>
      <c r="K19" s="634"/>
      <c r="L19" s="634"/>
      <c r="M19" s="635"/>
    </row>
    <row r="20" spans="2:13" ht="15.75" customHeight="1" x14ac:dyDescent="0.2">
      <c r="J20" s="638" t="s">
        <v>476</v>
      </c>
      <c r="K20" s="638"/>
      <c r="L20" s="638"/>
      <c r="M20" s="638"/>
    </row>
    <row r="21" spans="2:13" ht="22.5" customHeight="1" x14ac:dyDescent="0.2">
      <c r="J21" s="638"/>
      <c r="K21" s="638"/>
      <c r="L21" s="638"/>
      <c r="M21" s="638"/>
    </row>
    <row r="22" spans="2:13" ht="22.5" customHeight="1" x14ac:dyDescent="0.2">
      <c r="J22" s="638"/>
      <c r="K22" s="638"/>
      <c r="L22" s="638"/>
      <c r="M22" s="638"/>
    </row>
    <row r="23" spans="2:13" ht="22.5" customHeight="1" x14ac:dyDescent="0.2">
      <c r="J23" s="638"/>
      <c r="K23" s="638"/>
      <c r="L23" s="638"/>
      <c r="M23" s="638"/>
    </row>
    <row r="24" spans="2:13" ht="22.5" customHeight="1" x14ac:dyDescent="0.2">
      <c r="J24" s="638"/>
      <c r="K24" s="638"/>
      <c r="L24" s="638"/>
      <c r="M24" s="638"/>
    </row>
    <row r="25" spans="2:13" ht="22.5" customHeight="1" x14ac:dyDescent="0.2">
      <c r="J25" s="638"/>
      <c r="K25" s="638"/>
      <c r="L25" s="638"/>
      <c r="M25" s="638"/>
    </row>
    <row r="26" spans="2:13" ht="22.5" customHeight="1" x14ac:dyDescent="0.2">
      <c r="J26" s="638"/>
      <c r="K26" s="638"/>
      <c r="L26" s="638"/>
      <c r="M26" s="638"/>
    </row>
    <row r="27" spans="2:13" ht="22.5" customHeight="1" x14ac:dyDescent="0.2">
      <c r="J27" s="638"/>
      <c r="K27" s="638"/>
      <c r="L27" s="638"/>
      <c r="M27" s="638"/>
    </row>
    <row r="28" spans="2:13" ht="22.5" customHeight="1" x14ac:dyDescent="0.2">
      <c r="J28" s="638"/>
      <c r="K28" s="638"/>
      <c r="L28" s="638"/>
      <c r="M28" s="638"/>
    </row>
    <row r="29" spans="2:13" ht="22.5" customHeight="1" x14ac:dyDescent="0.2">
      <c r="J29" s="638"/>
      <c r="K29" s="638"/>
      <c r="L29" s="638"/>
      <c r="M29" s="638"/>
    </row>
    <row r="30" spans="2:13" ht="6" customHeight="1" x14ac:dyDescent="0.2"/>
    <row r="31" spans="2:13" ht="19.5" customHeight="1" x14ac:dyDescent="0.2">
      <c r="G31" s="559" t="s">
        <v>155</v>
      </c>
      <c r="H31" s="560"/>
      <c r="I31" s="560"/>
    </row>
  </sheetData>
  <sheetProtection formatCells="0" formatColumns="0" formatRows="0" insertColumns="0" insertRows="0" insertHyperlinks="0" deleteColumns="0" deleteRows="0" pivotTables="0"/>
  <mergeCells count="28">
    <mergeCell ref="G8:I8"/>
    <mergeCell ref="D8:E8"/>
    <mergeCell ref="B8:C8"/>
    <mergeCell ref="D6:E6"/>
    <mergeCell ref="B19:E19"/>
    <mergeCell ref="J19:M19"/>
    <mergeCell ref="G31:I31"/>
    <mergeCell ref="B9:C9"/>
    <mergeCell ref="B11:I11"/>
    <mergeCell ref="B14:C14"/>
    <mergeCell ref="B15:C15"/>
    <mergeCell ref="B16:C16"/>
    <mergeCell ref="D9:E9"/>
    <mergeCell ref="G9:I9"/>
    <mergeCell ref="J20:M29"/>
    <mergeCell ref="B5:C5"/>
    <mergeCell ref="D5:E5"/>
    <mergeCell ref="G5:I5"/>
    <mergeCell ref="B7:C7"/>
    <mergeCell ref="D7:E7"/>
    <mergeCell ref="G7:I7"/>
    <mergeCell ref="B6:C6"/>
    <mergeCell ref="G6:I6"/>
    <mergeCell ref="B2:D2"/>
    <mergeCell ref="E2:I2"/>
    <mergeCell ref="B4:C4"/>
    <mergeCell ref="D4:E4"/>
    <mergeCell ref="G4:I4"/>
  </mergeCells>
  <phoneticPr fontId="95" type="noConversion"/>
  <pageMargins left="0.7" right="0.7" top="0.75" bottom="0.75" header="0" footer="0"/>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11B36-4E86-4A40-B922-F1C00FDA4AB3}">
  <sheetPr>
    <tabColor theme="9" tint="-0.499984740745262"/>
    <pageSetUpPr fitToPage="1"/>
  </sheetPr>
  <dimension ref="B2:J30"/>
  <sheetViews>
    <sheetView showGridLines="0" workbookViewId="0">
      <selection activeCell="H10" sqref="H10"/>
    </sheetView>
  </sheetViews>
  <sheetFormatPr defaultColWidth="12.5703125" defaultRowHeight="15.75" customHeight="1" x14ac:dyDescent="0.2"/>
  <cols>
    <col min="1" max="1" width="3.42578125" customWidth="1"/>
    <col min="2" max="2" width="14.140625" customWidth="1"/>
    <col min="3" max="3" width="18.42578125" customWidth="1"/>
    <col min="4" max="4" width="17.28515625" bestFit="1" customWidth="1"/>
    <col min="5" max="9" width="12.5703125" customWidth="1"/>
    <col min="10" max="10" width="46.4257812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917" t="s">
        <v>193</v>
      </c>
      <c r="C4" s="789"/>
      <c r="D4" s="786" t="str">
        <f>Índex!B55</f>
        <v>PS4.02_Ind05.</v>
      </c>
      <c r="E4" s="787"/>
      <c r="F4" s="917" t="s">
        <v>194</v>
      </c>
      <c r="G4" s="789"/>
      <c r="H4" s="786" t="str">
        <f>Índex!C55</f>
        <v>Percentatge d’informes de Vigilància de la Salut retornats respecte dels rebuts</v>
      </c>
      <c r="I4" s="787"/>
      <c r="J4" s="787"/>
    </row>
    <row r="5" spans="2:10" ht="22.5" customHeight="1" x14ac:dyDescent="0.2">
      <c r="B5" s="917" t="s">
        <v>285</v>
      </c>
      <c r="C5" s="789"/>
      <c r="D5" s="918">
        <f>Índex!F55</f>
        <v>1</v>
      </c>
      <c r="E5" s="787"/>
      <c r="F5" s="919" t="s">
        <v>196</v>
      </c>
      <c r="G5" s="789"/>
      <c r="H5" s="871" t="s">
        <v>216</v>
      </c>
      <c r="I5" s="787"/>
      <c r="J5" s="787"/>
    </row>
    <row r="6" spans="2:10" ht="22.5" customHeight="1" x14ac:dyDescent="0.2">
      <c r="B6" s="546" t="s">
        <v>471</v>
      </c>
      <c r="C6" s="147"/>
      <c r="D6" s="918" t="str">
        <f>Índex!H55</f>
        <v>Objectiu de Qualitat. Organització i gestió de recursos</v>
      </c>
      <c r="E6" s="787"/>
      <c r="F6" s="919" t="s">
        <v>634</v>
      </c>
      <c r="G6" s="919"/>
      <c r="H6" s="912"/>
      <c r="I6" s="913"/>
      <c r="J6" s="914"/>
    </row>
    <row r="7" spans="2:10" ht="22.5" customHeight="1" x14ac:dyDescent="0.2">
      <c r="B7" s="546" t="s">
        <v>463</v>
      </c>
      <c r="C7" s="147"/>
      <c r="D7" s="984"/>
      <c r="E7" s="985"/>
      <c r="F7" s="1002" t="s">
        <v>464</v>
      </c>
      <c r="G7" s="1003"/>
      <c r="H7" s="912" t="s">
        <v>198</v>
      </c>
      <c r="I7" s="913"/>
      <c r="J7" s="914"/>
    </row>
    <row r="8" spans="2:10" ht="22.5" customHeight="1" x14ac:dyDescent="0.2">
      <c r="B8" s="920" t="s">
        <v>465</v>
      </c>
      <c r="C8" s="921"/>
      <c r="D8" s="984" t="str">
        <f>Índex!D55</f>
        <v>Degà</v>
      </c>
      <c r="E8" s="985"/>
      <c r="F8" s="1002" t="s">
        <v>637</v>
      </c>
      <c r="G8" s="1003"/>
      <c r="H8" s="731" t="str">
        <f>Índex!E55</f>
        <v>Administradora de Centre</v>
      </c>
      <c r="I8" s="915"/>
      <c r="J8" s="916"/>
    </row>
    <row r="9" spans="2:10" ht="60.75" customHeight="1" x14ac:dyDescent="0.2">
      <c r="B9" s="917" t="s">
        <v>461</v>
      </c>
      <c r="C9" s="789"/>
      <c r="D9" s="786" t="str">
        <f>Índex!G55</f>
        <v>PS4.02. Gestió de la Política de PAS</v>
      </c>
      <c r="E9" s="787"/>
      <c r="F9" s="917" t="s">
        <v>467</v>
      </c>
      <c r="G9" s="789"/>
      <c r="H9" s="1004" t="s">
        <v>644</v>
      </c>
      <c r="I9" s="1005"/>
      <c r="J9" s="100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c r="D13" s="86" t="s">
        <v>202</v>
      </c>
      <c r="E13" s="86" t="s">
        <v>203</v>
      </c>
      <c r="F13" s="86" t="s">
        <v>204</v>
      </c>
      <c r="G13" s="86" t="s">
        <v>205</v>
      </c>
      <c r="H13" s="84" t="s">
        <v>256</v>
      </c>
      <c r="J13" s="12"/>
    </row>
    <row r="14" spans="2:10" ht="22.5" customHeight="1" thickBot="1" x14ac:dyDescent="0.25">
      <c r="C14" s="63" t="s">
        <v>387</v>
      </c>
      <c r="D14" s="125" t="s">
        <v>626</v>
      </c>
      <c r="E14" s="125" t="s">
        <v>626</v>
      </c>
      <c r="F14" s="125">
        <v>5</v>
      </c>
      <c r="G14" s="125">
        <v>5</v>
      </c>
      <c r="H14" s="125">
        <v>7</v>
      </c>
      <c r="J14" s="12"/>
    </row>
    <row r="15" spans="2:10" ht="22.5" customHeight="1" thickBot="1" x14ac:dyDescent="0.25">
      <c r="B15" s="27" t="s">
        <v>155</v>
      </c>
      <c r="C15" s="40" t="s">
        <v>208</v>
      </c>
      <c r="D15" s="521">
        <v>1</v>
      </c>
      <c r="E15" s="520">
        <v>1</v>
      </c>
      <c r="F15" s="522">
        <v>1</v>
      </c>
      <c r="G15" s="523">
        <v>1</v>
      </c>
      <c r="H15" s="523">
        <v>1</v>
      </c>
    </row>
    <row r="16" spans="2:10" ht="22.5" customHeight="1" thickBot="1" x14ac:dyDescent="0.25">
      <c r="B16" s="58"/>
      <c r="C16" s="155" t="s">
        <v>384</v>
      </c>
      <c r="D16" s="521">
        <v>1</v>
      </c>
      <c r="E16" s="520">
        <v>1</v>
      </c>
      <c r="F16" s="522">
        <v>1</v>
      </c>
      <c r="G16" s="523">
        <v>1</v>
      </c>
      <c r="H16" s="523">
        <v>1</v>
      </c>
    </row>
    <row r="17" spans="2:10" ht="22.5" customHeight="1" x14ac:dyDescent="0.2">
      <c r="B17" s="58"/>
      <c r="C17" s="59"/>
      <c r="D17" s="58"/>
      <c r="E17" s="58"/>
      <c r="F17" s="58"/>
      <c r="G17" s="12"/>
    </row>
    <row r="18" spans="2:10" ht="22.5" customHeight="1" x14ac:dyDescent="0.2">
      <c r="B18" s="567" t="s">
        <v>469</v>
      </c>
      <c r="C18" s="568"/>
      <c r="D18" s="568"/>
      <c r="E18" s="569"/>
      <c r="F18" s="8"/>
      <c r="G18" s="567" t="s">
        <v>470</v>
      </c>
      <c r="H18" s="568"/>
      <c r="I18" s="568"/>
      <c r="J18" s="569"/>
    </row>
    <row r="20" spans="2:10" ht="22.5" customHeight="1" x14ac:dyDescent="0.2">
      <c r="G20" s="709"/>
      <c r="H20" s="571"/>
      <c r="I20" s="571"/>
      <c r="J20" s="572"/>
    </row>
    <row r="21" spans="2:10" ht="6" customHeight="1" x14ac:dyDescent="0.2">
      <c r="G21" s="573"/>
      <c r="H21" s="574"/>
      <c r="I21" s="574"/>
      <c r="J21" s="575"/>
    </row>
    <row r="22" spans="2:10" ht="19.5" customHeight="1" x14ac:dyDescent="0.2">
      <c r="G22" s="573"/>
      <c r="H22" s="574"/>
      <c r="I22" s="574"/>
      <c r="J22" s="575"/>
    </row>
    <row r="23" spans="2:10" ht="19.5" customHeight="1" x14ac:dyDescent="0.2">
      <c r="G23" s="573"/>
      <c r="H23" s="574"/>
      <c r="I23" s="574"/>
      <c r="J23" s="575"/>
    </row>
    <row r="24" spans="2:10" ht="19.5" customHeight="1" x14ac:dyDescent="0.2">
      <c r="G24" s="573"/>
      <c r="H24" s="574"/>
      <c r="I24" s="574"/>
      <c r="J24" s="575"/>
    </row>
    <row r="25" spans="2:10" ht="19.5" customHeight="1" x14ac:dyDescent="0.2">
      <c r="G25" s="573"/>
      <c r="H25" s="574"/>
      <c r="I25" s="574"/>
      <c r="J25" s="575"/>
    </row>
    <row r="26" spans="2:10" ht="19.5" customHeight="1" x14ac:dyDescent="0.2">
      <c r="G26" s="573"/>
      <c r="H26" s="574"/>
      <c r="I26" s="574"/>
      <c r="J26" s="575"/>
    </row>
    <row r="27" spans="2:10" ht="19.5" customHeight="1" x14ac:dyDescent="0.2">
      <c r="G27" s="573"/>
      <c r="H27" s="574"/>
      <c r="I27" s="574"/>
      <c r="J27" s="575"/>
    </row>
    <row r="28" spans="2:10" ht="19.5" customHeight="1" x14ac:dyDescent="0.2">
      <c r="G28" s="576"/>
      <c r="H28" s="577"/>
      <c r="I28" s="577"/>
      <c r="J28" s="578"/>
    </row>
    <row r="29" spans="2:10" ht="19.5" customHeight="1" x14ac:dyDescent="0.2"/>
    <row r="30" spans="2:10" ht="19.5" customHeight="1" x14ac:dyDescent="0.2">
      <c r="H30" s="559" t="s">
        <v>155</v>
      </c>
      <c r="I30" s="560"/>
      <c r="J30" s="560"/>
    </row>
  </sheetData>
  <sheetProtection formatCells="0" formatColumns="0" formatRows="0" insertColumns="0" insertRows="0" insertHyperlinks="0" deleteColumns="0" deleteRows="0" pivotTables="0"/>
  <mergeCells count="29">
    <mergeCell ref="B8:C8"/>
    <mergeCell ref="H9:J9"/>
    <mergeCell ref="H30:J30"/>
    <mergeCell ref="B11:J11"/>
    <mergeCell ref="B18:E18"/>
    <mergeCell ref="G18:J18"/>
    <mergeCell ref="G20:J28"/>
    <mergeCell ref="B2:D2"/>
    <mergeCell ref="E2:J2"/>
    <mergeCell ref="B4:C4"/>
    <mergeCell ref="D4:E4"/>
    <mergeCell ref="F4:G4"/>
    <mergeCell ref="H4:J4"/>
    <mergeCell ref="B5:C5"/>
    <mergeCell ref="D5:E5"/>
    <mergeCell ref="F5:G5"/>
    <mergeCell ref="H5:J5"/>
    <mergeCell ref="B9:C9"/>
    <mergeCell ref="D9:E9"/>
    <mergeCell ref="F9:G9"/>
    <mergeCell ref="F6:G6"/>
    <mergeCell ref="D6:E6"/>
    <mergeCell ref="H6:J6"/>
    <mergeCell ref="D7:E7"/>
    <mergeCell ref="H7:J7"/>
    <mergeCell ref="F7:G7"/>
    <mergeCell ref="H8:J8"/>
    <mergeCell ref="F8:G8"/>
    <mergeCell ref="D8:E8"/>
  </mergeCells>
  <pageMargins left="0.7" right="0.7" top="0.75" bottom="0.75" header="0" footer="0"/>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9FCA1-3DF5-41B1-8440-90DEA1D66B58}">
  <sheetPr>
    <tabColor theme="9" tint="-0.499984740745262"/>
    <pageSetUpPr fitToPage="1"/>
  </sheetPr>
  <dimension ref="B2:O30"/>
  <sheetViews>
    <sheetView showGridLines="0" workbookViewId="0">
      <selection activeCell="H9" sqref="H9:J9"/>
    </sheetView>
  </sheetViews>
  <sheetFormatPr defaultColWidth="12.5703125" defaultRowHeight="15.75" customHeight="1" x14ac:dyDescent="0.2"/>
  <cols>
    <col min="1" max="1" width="3.42578125" customWidth="1"/>
    <col min="2" max="2" width="14.140625" customWidth="1"/>
    <col min="3" max="3" width="18.28515625" customWidth="1"/>
    <col min="4" max="4" width="17.28515625" bestFit="1" customWidth="1"/>
    <col min="5" max="9" width="12.5703125" customWidth="1"/>
    <col min="10" max="10" width="44.8554687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991" t="s">
        <v>193</v>
      </c>
      <c r="C4" s="998"/>
      <c r="D4" s="999" t="str">
        <f>Índex!B56</f>
        <v>PS4.02_Ind06.</v>
      </c>
      <c r="E4" s="992"/>
      <c r="F4" s="991" t="s">
        <v>194</v>
      </c>
      <c r="G4" s="998"/>
      <c r="H4" s="999" t="str">
        <f>Índex!C56</f>
        <v xml:space="preserve">Mantenir el nombre d’hores de formació realitzades </v>
      </c>
      <c r="I4" s="992"/>
      <c r="J4" s="992"/>
    </row>
    <row r="5" spans="2:10" ht="22.5" customHeight="1" x14ac:dyDescent="0.2">
      <c r="B5" s="991" t="s">
        <v>285</v>
      </c>
      <c r="C5" s="998"/>
      <c r="D5" s="999" t="str">
        <f>Índex!F56</f>
        <v>Mantenir el nombre d’hores</v>
      </c>
      <c r="E5" s="992"/>
      <c r="F5" s="1000" t="s">
        <v>196</v>
      </c>
      <c r="G5" s="998"/>
      <c r="H5" s="1001" t="s">
        <v>216</v>
      </c>
      <c r="I5" s="992"/>
      <c r="J5" s="992"/>
    </row>
    <row r="6" spans="2:10" ht="30.75" customHeight="1" x14ac:dyDescent="0.2">
      <c r="B6" s="549" t="s">
        <v>636</v>
      </c>
      <c r="C6" s="550"/>
      <c r="D6" s="999" t="str">
        <f>Índex!H56</f>
        <v>Objectiu de Qualitat. Organització i gestió de recursos</v>
      </c>
      <c r="E6" s="992"/>
      <c r="F6" s="1000" t="s">
        <v>634</v>
      </c>
      <c r="G6" s="1000"/>
      <c r="H6" s="993"/>
      <c r="I6" s="994"/>
      <c r="J6" s="995"/>
    </row>
    <row r="7" spans="2:10" ht="22.5" customHeight="1" x14ac:dyDescent="0.2">
      <c r="B7" s="1013" t="s">
        <v>463</v>
      </c>
      <c r="C7" s="1014"/>
      <c r="F7" s="991" t="s">
        <v>464</v>
      </c>
      <c r="G7" s="998"/>
      <c r="H7" s="993" t="s">
        <v>198</v>
      </c>
      <c r="I7" s="994"/>
      <c r="J7" s="995"/>
    </row>
    <row r="8" spans="2:10" ht="22.5" customHeight="1" x14ac:dyDescent="0.2">
      <c r="B8" s="1013" t="s">
        <v>465</v>
      </c>
      <c r="C8" s="1014"/>
      <c r="D8" s="996" t="str">
        <f>Índex!D56</f>
        <v>Degà</v>
      </c>
      <c r="E8" s="997"/>
      <c r="F8" s="991" t="s">
        <v>637</v>
      </c>
      <c r="G8" s="998"/>
      <c r="H8" s="1007" t="str">
        <f>Índex!E56</f>
        <v>Administradora de Centre</v>
      </c>
      <c r="I8" s="1008"/>
      <c r="J8" s="1009"/>
    </row>
    <row r="9" spans="2:10" ht="42" customHeight="1" x14ac:dyDescent="0.2">
      <c r="B9" s="991" t="s">
        <v>461</v>
      </c>
      <c r="C9" s="998"/>
      <c r="D9" s="999" t="str">
        <f>Índex!G56</f>
        <v>PS4.02. Gestió de la Política de PAS</v>
      </c>
      <c r="E9" s="992"/>
      <c r="F9" s="991" t="s">
        <v>467</v>
      </c>
      <c r="G9" s="998"/>
      <c r="H9" s="1010" t="s">
        <v>644</v>
      </c>
      <c r="I9" s="1011"/>
      <c r="J9" s="1012"/>
    </row>
    <row r="10" spans="2:10" ht="7.5" customHeight="1" x14ac:dyDescent="0.2"/>
    <row r="11" spans="2:10" ht="22.5" customHeight="1" x14ac:dyDescent="0.2">
      <c r="B11" s="567" t="s">
        <v>468</v>
      </c>
      <c r="C11" s="568"/>
      <c r="D11" s="568"/>
      <c r="E11" s="568"/>
      <c r="F11" s="568"/>
      <c r="G11" s="568"/>
      <c r="H11" s="568"/>
      <c r="I11" s="568"/>
      <c r="J11" s="569"/>
    </row>
    <row r="12" spans="2:10" ht="22.5" customHeight="1" thickBot="1" x14ac:dyDescent="0.25">
      <c r="B12" s="13"/>
      <c r="C12" s="12"/>
      <c r="D12" s="12"/>
      <c r="E12" s="12"/>
      <c r="F12" s="12"/>
      <c r="G12" s="12"/>
      <c r="H12" s="12"/>
      <c r="I12" s="12"/>
      <c r="J12" s="12"/>
    </row>
    <row r="13" spans="2:10" ht="22.5" customHeight="1" thickBot="1" x14ac:dyDescent="0.25">
      <c r="D13" s="123" t="s">
        <v>202</v>
      </c>
      <c r="E13" s="123" t="s">
        <v>203</v>
      </c>
      <c r="F13" s="123" t="s">
        <v>204</v>
      </c>
      <c r="G13" s="525" t="s">
        <v>205</v>
      </c>
      <c r="H13" s="78" t="s">
        <v>256</v>
      </c>
      <c r="I13" s="531"/>
      <c r="J13" s="12"/>
    </row>
    <row r="14" spans="2:10" ht="22.5" customHeight="1" thickBot="1" x14ac:dyDescent="0.25">
      <c r="C14" s="63" t="s">
        <v>627</v>
      </c>
      <c r="D14" s="524">
        <v>7964</v>
      </c>
      <c r="E14" s="524">
        <v>4460</v>
      </c>
      <c r="F14" s="524">
        <v>3868</v>
      </c>
      <c r="G14" s="526">
        <v>4328</v>
      </c>
      <c r="H14" s="529">
        <v>4123</v>
      </c>
      <c r="I14" s="503"/>
      <c r="J14" s="12"/>
    </row>
    <row r="15" spans="2:10" ht="22.5" customHeight="1" thickBot="1" x14ac:dyDescent="0.25">
      <c r="B15" s="27" t="s">
        <v>155</v>
      </c>
      <c r="C15" s="40" t="s">
        <v>208</v>
      </c>
      <c r="D15" s="521">
        <v>1</v>
      </c>
      <c r="E15" s="520">
        <v>0.56000000000000005</v>
      </c>
      <c r="F15" s="522">
        <v>0.87</v>
      </c>
      <c r="G15" s="527">
        <v>1.1200000000000001</v>
      </c>
      <c r="H15" s="530">
        <v>0.95</v>
      </c>
      <c r="I15" s="528"/>
    </row>
    <row r="16" spans="2:10" ht="34.5" customHeight="1" thickBot="1" x14ac:dyDescent="0.25">
      <c r="B16" s="58"/>
      <c r="C16" s="155" t="s">
        <v>369</v>
      </c>
      <c r="D16" s="125" t="s">
        <v>596</v>
      </c>
      <c r="E16" s="125" t="s">
        <v>596</v>
      </c>
      <c r="F16" s="125" t="s">
        <v>596</v>
      </c>
      <c r="G16" s="514" t="s">
        <v>596</v>
      </c>
      <c r="H16" s="28" t="s">
        <v>596</v>
      </c>
      <c r="I16" s="58"/>
    </row>
    <row r="17" spans="2:15" ht="22.5" customHeight="1" x14ac:dyDescent="0.2">
      <c r="B17" s="58"/>
      <c r="C17" s="59"/>
      <c r="D17" s="58"/>
      <c r="E17" s="58"/>
      <c r="F17" s="58"/>
      <c r="G17" s="12"/>
    </row>
    <row r="18" spans="2:15" ht="22.5" customHeight="1" x14ac:dyDescent="0.2">
      <c r="B18" s="567" t="s">
        <v>469</v>
      </c>
      <c r="C18" s="568"/>
      <c r="D18" s="568"/>
      <c r="E18" s="569"/>
      <c r="F18" s="8"/>
    </row>
    <row r="20" spans="2:15" ht="22.5" customHeight="1" x14ac:dyDescent="0.2">
      <c r="L20" s="567" t="s">
        <v>470</v>
      </c>
      <c r="M20" s="568"/>
      <c r="N20" s="568"/>
      <c r="O20" s="569"/>
    </row>
    <row r="21" spans="2:15" ht="6" customHeight="1" x14ac:dyDescent="0.2"/>
    <row r="22" spans="2:15" ht="19.5" customHeight="1" x14ac:dyDescent="0.2">
      <c r="L22" s="709"/>
      <c r="M22" s="571"/>
      <c r="N22" s="571"/>
      <c r="O22" s="572"/>
    </row>
    <row r="23" spans="2:15" ht="19.5" customHeight="1" x14ac:dyDescent="0.2">
      <c r="L23" s="573"/>
      <c r="M23" s="574"/>
      <c r="N23" s="574"/>
      <c r="O23" s="575"/>
    </row>
    <row r="24" spans="2:15" ht="19.5" customHeight="1" x14ac:dyDescent="0.2">
      <c r="L24" s="573"/>
      <c r="M24" s="574"/>
      <c r="N24" s="574"/>
      <c r="O24" s="575"/>
    </row>
    <row r="25" spans="2:15" ht="19.5" customHeight="1" x14ac:dyDescent="0.2">
      <c r="L25" s="573"/>
      <c r="M25" s="574"/>
      <c r="N25" s="574"/>
      <c r="O25" s="575"/>
    </row>
    <row r="26" spans="2:15" ht="19.5" customHeight="1" x14ac:dyDescent="0.2">
      <c r="L26" s="573"/>
      <c r="M26" s="574"/>
      <c r="N26" s="574"/>
      <c r="O26" s="575"/>
    </row>
    <row r="27" spans="2:15" ht="19.5" customHeight="1" x14ac:dyDescent="0.2">
      <c r="L27" s="573"/>
      <c r="M27" s="574"/>
      <c r="N27" s="574"/>
      <c r="O27" s="575"/>
    </row>
    <row r="28" spans="2:15" ht="19.5" customHeight="1" x14ac:dyDescent="0.2">
      <c r="L28" s="573"/>
      <c r="M28" s="574"/>
      <c r="N28" s="574"/>
      <c r="O28" s="575"/>
    </row>
    <row r="29" spans="2:15" ht="19.5" customHeight="1" x14ac:dyDescent="0.2">
      <c r="L29" s="573"/>
      <c r="M29" s="574"/>
      <c r="N29" s="574"/>
      <c r="O29" s="575"/>
    </row>
    <row r="30" spans="2:15" ht="19.5" customHeight="1" x14ac:dyDescent="0.2">
      <c r="H30" s="559" t="s">
        <v>155</v>
      </c>
      <c r="I30" s="560"/>
      <c r="J30" s="560"/>
      <c r="L30" s="576"/>
      <c r="M30" s="577"/>
      <c r="N30" s="577"/>
      <c r="O30" s="578"/>
    </row>
  </sheetData>
  <sheetProtection formatCells="0" formatColumns="0" formatRows="0" insertColumns="0" insertRows="0" insertHyperlinks="0" deleteColumns="0" deleteRows="0" pivotTables="0"/>
  <mergeCells count="29">
    <mergeCell ref="L20:O20"/>
    <mergeCell ref="L22:O30"/>
    <mergeCell ref="B5:C5"/>
    <mergeCell ref="D5:E5"/>
    <mergeCell ref="F5:G5"/>
    <mergeCell ref="H5:J5"/>
    <mergeCell ref="D9:E9"/>
    <mergeCell ref="F8:G8"/>
    <mergeCell ref="H30:J30"/>
    <mergeCell ref="B9:C9"/>
    <mergeCell ref="B11:J11"/>
    <mergeCell ref="B18:E18"/>
    <mergeCell ref="F6:G6"/>
    <mergeCell ref="D6:E6"/>
    <mergeCell ref="H6:J6"/>
    <mergeCell ref="H7:J7"/>
    <mergeCell ref="B2:D2"/>
    <mergeCell ref="E2:J2"/>
    <mergeCell ref="B4:C4"/>
    <mergeCell ref="D4:E4"/>
    <mergeCell ref="F4:G4"/>
    <mergeCell ref="H4:J4"/>
    <mergeCell ref="H8:J8"/>
    <mergeCell ref="H9:J9"/>
    <mergeCell ref="F9:G9"/>
    <mergeCell ref="B8:C8"/>
    <mergeCell ref="B7:C7"/>
    <mergeCell ref="D8:E8"/>
    <mergeCell ref="F7:G7"/>
  </mergeCells>
  <pageMargins left="0.7" right="0.7" top="0.75" bottom="0.75" header="0" footer="0"/>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8F90A-8461-4DBC-951C-A54D63C89539}">
  <sheetPr>
    <tabColor theme="9" tint="-0.499984740745262"/>
    <pageSetUpPr fitToPage="1"/>
  </sheetPr>
  <dimension ref="B2:AA82"/>
  <sheetViews>
    <sheetView showGridLines="0" workbookViewId="0">
      <selection activeCell="N6" sqref="N6"/>
    </sheetView>
  </sheetViews>
  <sheetFormatPr defaultColWidth="12.5703125" defaultRowHeight="15.75" customHeight="1" x14ac:dyDescent="0.2"/>
  <cols>
    <col min="1" max="1" width="3.42578125" customWidth="1"/>
    <col min="2" max="2" width="23" customWidth="1"/>
    <col min="3" max="3" width="16.5703125" customWidth="1"/>
    <col min="4" max="4" width="17.28515625" customWidth="1"/>
    <col min="5" max="9" width="12.5703125" customWidth="1"/>
    <col min="10" max="11" width="14.85546875" customWidth="1"/>
    <col min="12" max="12" width="11.42578125" customWidth="1"/>
    <col min="13" max="13" width="10.85546875" customWidth="1"/>
    <col min="14" max="14" width="12.140625" customWidth="1"/>
    <col min="15" max="15" width="13.28515625" customWidth="1"/>
    <col min="16" max="16" width="9.42578125" customWidth="1"/>
    <col min="17" max="17" width="9.5703125" customWidth="1"/>
    <col min="18" max="21" width="7.5703125" customWidth="1"/>
  </cols>
  <sheetData>
    <row r="2" spans="2:27" ht="55.5" customHeight="1" x14ac:dyDescent="0.2">
      <c r="B2" s="714"/>
      <c r="C2" s="715"/>
      <c r="D2" s="716"/>
      <c r="E2" s="717" t="s">
        <v>192</v>
      </c>
      <c r="F2" s="715"/>
      <c r="G2" s="715"/>
      <c r="H2" s="715"/>
      <c r="I2" s="715"/>
      <c r="J2" s="716"/>
      <c r="K2" s="12"/>
    </row>
    <row r="3" spans="2:27" ht="22.5" customHeight="1" x14ac:dyDescent="0.2">
      <c r="B3" s="41"/>
      <c r="C3" s="41"/>
      <c r="D3" s="42"/>
      <c r="E3" s="42"/>
      <c r="F3" s="42"/>
      <c r="G3" s="42"/>
      <c r="H3" s="42"/>
      <c r="I3" s="42"/>
    </row>
    <row r="4" spans="2:27" ht="42" customHeight="1" x14ac:dyDescent="0.2">
      <c r="B4" s="567" t="s">
        <v>193</v>
      </c>
      <c r="C4" s="569"/>
      <c r="D4" s="718" t="str">
        <f>Índex!B57</f>
        <v xml:space="preserve">PS4.03_Ind01. </v>
      </c>
      <c r="E4" s="716"/>
      <c r="F4" s="567" t="s">
        <v>194</v>
      </c>
      <c r="G4" s="773"/>
      <c r="H4" s="718" t="str">
        <f>Índex!C57</f>
        <v>Percentatge de PDI dones desglossat per categoria</v>
      </c>
      <c r="I4" s="715"/>
      <c r="J4" s="716"/>
      <c r="K4" s="12"/>
    </row>
    <row r="5" spans="2:27" ht="22.5" customHeight="1" x14ac:dyDescent="0.2">
      <c r="B5" s="567" t="s">
        <v>314</v>
      </c>
      <c r="C5" s="569"/>
      <c r="D5" s="784">
        <f>Índex!F57</f>
        <v>0.3</v>
      </c>
      <c r="E5" s="785"/>
      <c r="F5" s="567" t="s">
        <v>196</v>
      </c>
      <c r="G5" s="773"/>
      <c r="H5" s="718" t="s">
        <v>216</v>
      </c>
      <c r="I5" s="715"/>
      <c r="J5" s="716"/>
      <c r="K5" s="12"/>
    </row>
    <row r="6" spans="2:27" ht="33.75" customHeight="1" x14ac:dyDescent="0.2">
      <c r="B6" s="567" t="s">
        <v>471</v>
      </c>
      <c r="C6" s="569"/>
      <c r="D6" s="718" t="str">
        <f>Índex!H57</f>
        <v>Objectiu de Qualitat. Organització i gestió de recursos</v>
      </c>
      <c r="E6" s="716"/>
      <c r="F6" s="567" t="s">
        <v>462</v>
      </c>
      <c r="G6" s="773"/>
      <c r="H6" s="718"/>
      <c r="I6" s="715"/>
      <c r="J6" s="716"/>
      <c r="K6" s="12"/>
      <c r="V6" s="788" t="s">
        <v>470</v>
      </c>
      <c r="W6" s="789"/>
      <c r="X6" s="789"/>
      <c r="Y6" s="789"/>
    </row>
    <row r="7" spans="2:27" ht="22.5" customHeight="1" x14ac:dyDescent="0.2">
      <c r="B7" s="567" t="s">
        <v>463</v>
      </c>
      <c r="C7" s="569"/>
      <c r="D7" s="718"/>
      <c r="E7" s="716"/>
      <c r="F7" s="567" t="s">
        <v>464</v>
      </c>
      <c r="G7" s="773"/>
      <c r="H7" s="718" t="s">
        <v>198</v>
      </c>
      <c r="I7" s="715"/>
      <c r="J7" s="716"/>
      <c r="V7" s="359" t="s">
        <v>385</v>
      </c>
      <c r="W7" s="360"/>
      <c r="X7" s="360"/>
      <c r="Y7" s="361"/>
    </row>
    <row r="8" spans="2:27" ht="22.5" customHeight="1" x14ac:dyDescent="0.2">
      <c r="B8" s="567" t="s">
        <v>465</v>
      </c>
      <c r="C8" s="569"/>
      <c r="D8" s="718" t="str">
        <f>Índex!D57</f>
        <v>Degà</v>
      </c>
      <c r="E8" s="716"/>
      <c r="F8" s="567" t="s">
        <v>472</v>
      </c>
      <c r="G8" s="773"/>
      <c r="H8" s="718" t="str">
        <f>Índex!E57</f>
        <v xml:space="preserve">Secretària de Deganat </v>
      </c>
      <c r="I8" s="715"/>
      <c r="J8" s="716"/>
      <c r="V8" s="362"/>
      <c r="W8" s="357"/>
      <c r="X8" s="357"/>
      <c r="Y8" s="363"/>
    </row>
    <row r="9" spans="2:27" ht="31.5" customHeight="1" x14ac:dyDescent="0.2">
      <c r="B9" s="567" t="s">
        <v>461</v>
      </c>
      <c r="C9" s="569"/>
      <c r="D9" s="718" t="str">
        <f>Índex!G57</f>
        <v xml:space="preserve">PS4.03. Gestió de la Política de PDI  </v>
      </c>
      <c r="E9" s="716"/>
      <c r="F9" s="567" t="s">
        <v>467</v>
      </c>
      <c r="G9" s="773"/>
      <c r="H9" s="718" t="s">
        <v>564</v>
      </c>
      <c r="I9" s="715"/>
      <c r="J9" s="716"/>
      <c r="K9" s="12"/>
      <c r="V9" s="362"/>
      <c r="W9" s="357"/>
      <c r="X9" s="357"/>
      <c r="Y9" s="363"/>
    </row>
    <row r="10" spans="2:27" ht="7.5" customHeight="1" x14ac:dyDescent="0.2">
      <c r="V10" s="362"/>
      <c r="W10" s="357"/>
      <c r="X10" s="357"/>
      <c r="Y10" s="363"/>
    </row>
    <row r="11" spans="2:27" ht="22.5" customHeight="1" x14ac:dyDescent="0.2">
      <c r="B11" s="567" t="s">
        <v>468</v>
      </c>
      <c r="C11" s="568"/>
      <c r="D11" s="568"/>
      <c r="E11" s="568"/>
      <c r="F11" s="568"/>
      <c r="G11" s="568"/>
      <c r="H11" s="568"/>
      <c r="I11" s="568"/>
      <c r="J11" s="569"/>
      <c r="K11" s="157"/>
      <c r="V11" s="362"/>
      <c r="W11" s="357"/>
      <c r="X11" s="357"/>
      <c r="Y11" s="363"/>
    </row>
    <row r="12" spans="2:27" ht="22.5" customHeight="1" thickBot="1" x14ac:dyDescent="0.25">
      <c r="B12" s="13"/>
      <c r="C12" s="12"/>
      <c r="D12" s="12"/>
      <c r="E12" s="12"/>
      <c r="F12" s="12"/>
      <c r="G12" s="12"/>
      <c r="H12" s="12"/>
      <c r="I12" s="12"/>
      <c r="J12" s="12"/>
      <c r="K12" s="12"/>
      <c r="V12" s="362"/>
      <c r="W12" s="357"/>
      <c r="X12" s="357"/>
      <c r="Y12" s="363"/>
    </row>
    <row r="13" spans="2:27" ht="22.5" customHeight="1" thickBot="1" x14ac:dyDescent="0.25">
      <c r="B13" s="1022" t="s">
        <v>388</v>
      </c>
      <c r="C13" s="1024" t="s">
        <v>389</v>
      </c>
      <c r="D13" s="1026" t="s">
        <v>390</v>
      </c>
      <c r="E13" s="1027"/>
      <c r="F13" s="1027"/>
      <c r="G13" s="1027"/>
      <c r="H13" s="1027"/>
      <c r="I13" s="1028" t="s">
        <v>391</v>
      </c>
      <c r="J13" s="1029"/>
      <c r="K13" s="1029"/>
      <c r="L13" s="1029"/>
      <c r="M13" s="1030"/>
      <c r="N13" s="1029" t="s">
        <v>560</v>
      </c>
      <c r="O13" s="1029"/>
      <c r="P13" s="1029"/>
      <c r="Q13" s="1029"/>
      <c r="R13" s="1030"/>
      <c r="V13" s="362"/>
      <c r="W13" s="357"/>
      <c r="X13" s="357"/>
      <c r="Y13" s="363"/>
    </row>
    <row r="14" spans="2:27" ht="22.5" customHeight="1" thickBot="1" x14ac:dyDescent="0.25">
      <c r="B14" s="1023"/>
      <c r="C14" s="1025"/>
      <c r="D14" s="263">
        <v>2020</v>
      </c>
      <c r="E14" s="263">
        <v>2021</v>
      </c>
      <c r="F14" s="263">
        <v>2022</v>
      </c>
      <c r="G14" s="263">
        <v>2023</v>
      </c>
      <c r="H14" s="263">
        <v>2024</v>
      </c>
      <c r="I14" s="263">
        <v>2020</v>
      </c>
      <c r="J14" s="263">
        <v>2021</v>
      </c>
      <c r="K14" s="263">
        <v>2022</v>
      </c>
      <c r="L14" s="263">
        <v>2023</v>
      </c>
      <c r="M14" s="263">
        <v>2024</v>
      </c>
      <c r="N14" s="369">
        <v>2020</v>
      </c>
      <c r="O14" s="369">
        <v>2021</v>
      </c>
      <c r="P14" s="369">
        <v>2022</v>
      </c>
      <c r="Q14" s="369">
        <v>2023</v>
      </c>
      <c r="R14" s="369">
        <v>2024</v>
      </c>
      <c r="X14" s="362"/>
      <c r="Y14" s="357"/>
      <c r="Z14" s="357"/>
      <c r="AA14" s="363"/>
    </row>
    <row r="15" spans="2:27" ht="22.5" customHeight="1" thickBot="1" x14ac:dyDescent="0.25">
      <c r="B15" s="1016" t="s">
        <v>392</v>
      </c>
      <c r="C15" s="367" t="s">
        <v>239</v>
      </c>
      <c r="D15" s="439">
        <v>14</v>
      </c>
      <c r="E15" s="260">
        <v>12</v>
      </c>
      <c r="F15" s="260">
        <v>11</v>
      </c>
      <c r="G15" s="260">
        <v>14</v>
      </c>
      <c r="H15" s="260">
        <v>13</v>
      </c>
      <c r="I15" s="260">
        <v>57</v>
      </c>
      <c r="J15" s="260">
        <v>63</v>
      </c>
      <c r="K15" s="260">
        <v>62</v>
      </c>
      <c r="L15" s="260">
        <v>59</v>
      </c>
      <c r="M15" s="260">
        <v>59</v>
      </c>
      <c r="N15" s="372">
        <v>0.19700000000000001</v>
      </c>
      <c r="O15" s="440">
        <v>0.16</v>
      </c>
      <c r="P15" s="440">
        <v>0.151</v>
      </c>
      <c r="Q15" s="440">
        <v>0.192</v>
      </c>
      <c r="R15" s="441">
        <f>H15/(H15+M15)</f>
        <v>0.18055555555555555</v>
      </c>
      <c r="X15" s="362"/>
      <c r="Y15" s="357"/>
      <c r="Z15" s="357"/>
      <c r="AA15" s="363"/>
    </row>
    <row r="16" spans="2:27" ht="22.5" customHeight="1" thickBot="1" x14ac:dyDescent="0.25">
      <c r="B16" s="1017"/>
      <c r="C16" s="368" t="s">
        <v>393</v>
      </c>
      <c r="D16" s="259">
        <v>7</v>
      </c>
      <c r="E16" s="259">
        <v>7</v>
      </c>
      <c r="F16" s="259">
        <v>5</v>
      </c>
      <c r="G16" s="259">
        <v>7</v>
      </c>
      <c r="H16" s="259">
        <v>4</v>
      </c>
      <c r="I16" s="259">
        <v>20</v>
      </c>
      <c r="J16" s="259">
        <v>28</v>
      </c>
      <c r="K16" s="259">
        <v>30</v>
      </c>
      <c r="L16" s="259">
        <v>27</v>
      </c>
      <c r="M16" s="259">
        <v>15</v>
      </c>
      <c r="N16" s="370">
        <v>0.25900000000000001</v>
      </c>
      <c r="O16" s="442">
        <v>0.2</v>
      </c>
      <c r="P16" s="442">
        <v>0.14299999999999999</v>
      </c>
      <c r="Q16" s="442">
        <v>0.20599999999999999</v>
      </c>
      <c r="R16" s="441">
        <f t="shared" ref="R16:R54" si="0">H16/(H16+M16)</f>
        <v>0.21052631578947367</v>
      </c>
      <c r="X16" s="364"/>
      <c r="Y16" s="358"/>
      <c r="Z16" s="358"/>
      <c r="AA16" s="365"/>
    </row>
    <row r="17" spans="2:18" ht="22.5" customHeight="1" thickBot="1" x14ac:dyDescent="0.25">
      <c r="B17" s="1017"/>
      <c r="C17" s="368" t="s">
        <v>394</v>
      </c>
      <c r="D17" s="259">
        <v>0</v>
      </c>
      <c r="E17" s="259">
        <v>0</v>
      </c>
      <c r="F17" s="259">
        <v>0</v>
      </c>
      <c r="G17" s="259">
        <v>1</v>
      </c>
      <c r="H17" s="259">
        <v>1</v>
      </c>
      <c r="I17" s="259">
        <v>1</v>
      </c>
      <c r="J17" s="259">
        <v>1</v>
      </c>
      <c r="K17" s="259">
        <v>1</v>
      </c>
      <c r="L17" s="259">
        <v>4</v>
      </c>
      <c r="M17" s="259">
        <v>5</v>
      </c>
      <c r="N17" s="370">
        <v>0</v>
      </c>
      <c r="O17" s="442">
        <v>0</v>
      </c>
      <c r="P17" s="442">
        <v>0</v>
      </c>
      <c r="Q17" s="442">
        <v>0.2</v>
      </c>
      <c r="R17" s="441">
        <f t="shared" si="0"/>
        <v>0.16666666666666666</v>
      </c>
    </row>
    <row r="18" spans="2:18" ht="22.5" customHeight="1" thickBot="1" x14ac:dyDescent="0.25">
      <c r="B18" s="1017"/>
      <c r="C18" s="368" t="s">
        <v>395</v>
      </c>
      <c r="D18" s="259">
        <v>0</v>
      </c>
      <c r="E18" s="259">
        <v>0</v>
      </c>
      <c r="F18" s="259">
        <v>0</v>
      </c>
      <c r="G18" s="259">
        <v>1</v>
      </c>
      <c r="H18" s="259">
        <v>1</v>
      </c>
      <c r="I18" s="259">
        <v>11</v>
      </c>
      <c r="J18" s="259">
        <v>12</v>
      </c>
      <c r="K18" s="259">
        <v>12</v>
      </c>
      <c r="L18" s="259">
        <v>8</v>
      </c>
      <c r="M18" s="259">
        <v>8</v>
      </c>
      <c r="N18" s="370">
        <v>0</v>
      </c>
      <c r="O18" s="442">
        <v>0</v>
      </c>
      <c r="P18" s="442">
        <v>0</v>
      </c>
      <c r="Q18" s="442">
        <v>0.111</v>
      </c>
      <c r="R18" s="441">
        <f t="shared" si="0"/>
        <v>0.1111111111111111</v>
      </c>
    </row>
    <row r="19" spans="2:18" ht="22.5" customHeight="1" thickBot="1" x14ac:dyDescent="0.25">
      <c r="B19" s="1017"/>
      <c r="C19" s="368" t="s">
        <v>396</v>
      </c>
      <c r="D19" s="259">
        <v>1</v>
      </c>
      <c r="E19" s="259">
        <v>0</v>
      </c>
      <c r="F19" s="259">
        <v>0</v>
      </c>
      <c r="G19" s="259">
        <v>0</v>
      </c>
      <c r="H19" s="259">
        <v>0</v>
      </c>
      <c r="I19" s="259">
        <v>6</v>
      </c>
      <c r="J19" s="259">
        <v>2</v>
      </c>
      <c r="K19" s="259">
        <v>0</v>
      </c>
      <c r="L19" s="259">
        <v>2</v>
      </c>
      <c r="M19" s="259">
        <v>2</v>
      </c>
      <c r="N19" s="370">
        <v>0.14299999999999999</v>
      </c>
      <c r="O19" s="442">
        <v>0</v>
      </c>
      <c r="P19" s="442">
        <v>0</v>
      </c>
      <c r="Q19" s="442">
        <v>0</v>
      </c>
      <c r="R19" s="441">
        <f t="shared" si="0"/>
        <v>0</v>
      </c>
    </row>
    <row r="20" spans="2:18" ht="22.5" customHeight="1" thickBot="1" x14ac:dyDescent="0.25">
      <c r="B20" s="1017"/>
      <c r="C20" s="368" t="s">
        <v>397</v>
      </c>
      <c r="D20" s="259">
        <v>5</v>
      </c>
      <c r="E20" s="259">
        <v>4</v>
      </c>
      <c r="F20" s="259">
        <v>5</v>
      </c>
      <c r="G20" s="259">
        <v>3</v>
      </c>
      <c r="H20" s="259">
        <v>3</v>
      </c>
      <c r="I20" s="259">
        <v>9</v>
      </c>
      <c r="J20" s="259">
        <v>11</v>
      </c>
      <c r="K20" s="259">
        <v>10</v>
      </c>
      <c r="L20" s="259">
        <v>8</v>
      </c>
      <c r="M20" s="259">
        <v>9</v>
      </c>
      <c r="N20" s="371">
        <v>0.35699999999999998</v>
      </c>
      <c r="O20" s="442">
        <v>0.26700000000000002</v>
      </c>
      <c r="P20" s="442">
        <v>0.33300000000000002</v>
      </c>
      <c r="Q20" s="442">
        <v>0.27300000000000002</v>
      </c>
      <c r="R20" s="441">
        <f t="shared" si="0"/>
        <v>0.25</v>
      </c>
    </row>
    <row r="21" spans="2:18" ht="22.5" customHeight="1" thickBot="1" x14ac:dyDescent="0.25">
      <c r="B21" s="1017"/>
      <c r="C21" s="368" t="s">
        <v>398</v>
      </c>
      <c r="D21" s="259">
        <v>0</v>
      </c>
      <c r="E21" s="259">
        <v>0</v>
      </c>
      <c r="F21" s="259">
        <v>0</v>
      </c>
      <c r="G21" s="259">
        <v>1</v>
      </c>
      <c r="H21" s="259">
        <v>1</v>
      </c>
      <c r="I21" s="259">
        <v>0</v>
      </c>
      <c r="J21" s="259">
        <v>3</v>
      </c>
      <c r="K21" s="259">
        <v>3</v>
      </c>
      <c r="L21" s="259">
        <v>4</v>
      </c>
      <c r="M21" s="259">
        <v>8</v>
      </c>
      <c r="N21" s="370">
        <v>0</v>
      </c>
      <c r="O21" s="442">
        <v>0</v>
      </c>
      <c r="P21" s="442">
        <v>0</v>
      </c>
      <c r="Q21" s="442">
        <v>0.2</v>
      </c>
      <c r="R21" s="441">
        <f t="shared" si="0"/>
        <v>0.1111111111111111</v>
      </c>
    </row>
    <row r="22" spans="2:18" ht="22.5" customHeight="1" thickBot="1" x14ac:dyDescent="0.25">
      <c r="B22" s="1017"/>
      <c r="C22" s="368" t="s">
        <v>399</v>
      </c>
      <c r="D22" s="259">
        <v>0</v>
      </c>
      <c r="E22" s="259">
        <v>0</v>
      </c>
      <c r="F22" s="259">
        <v>0</v>
      </c>
      <c r="G22" s="259">
        <v>0</v>
      </c>
      <c r="H22" s="259">
        <v>0</v>
      </c>
      <c r="I22" s="259">
        <v>1</v>
      </c>
      <c r="J22" s="259">
        <v>0</v>
      </c>
      <c r="K22" s="259">
        <v>0</v>
      </c>
      <c r="L22" s="259">
        <v>0</v>
      </c>
      <c r="M22" s="259">
        <v>0</v>
      </c>
      <c r="N22" s="370">
        <v>0</v>
      </c>
      <c r="O22" s="442">
        <v>0</v>
      </c>
      <c r="P22" s="442">
        <v>0</v>
      </c>
      <c r="Q22" s="442">
        <v>0</v>
      </c>
      <c r="R22" s="441">
        <v>0</v>
      </c>
    </row>
    <row r="23" spans="2:18" ht="22.5" customHeight="1" thickBot="1" x14ac:dyDescent="0.25">
      <c r="B23" s="1017"/>
      <c r="C23" s="368" t="s">
        <v>400</v>
      </c>
      <c r="D23" s="259">
        <v>0</v>
      </c>
      <c r="E23" s="259">
        <v>0</v>
      </c>
      <c r="F23" s="259">
        <v>0</v>
      </c>
      <c r="G23" s="259">
        <v>0</v>
      </c>
      <c r="H23" s="259">
        <v>0</v>
      </c>
      <c r="I23" s="259">
        <v>1</v>
      </c>
      <c r="J23" s="259">
        <v>1</v>
      </c>
      <c r="K23" s="259">
        <v>1</v>
      </c>
      <c r="L23" s="259">
        <v>1</v>
      </c>
      <c r="M23" s="259">
        <v>1</v>
      </c>
      <c r="N23" s="370">
        <v>0</v>
      </c>
      <c r="O23" s="442">
        <v>0</v>
      </c>
      <c r="P23" s="442">
        <v>0</v>
      </c>
      <c r="Q23" s="442">
        <v>0</v>
      </c>
      <c r="R23" s="441">
        <f t="shared" si="0"/>
        <v>0</v>
      </c>
    </row>
    <row r="24" spans="2:18" ht="22.5" customHeight="1" thickBot="1" x14ac:dyDescent="0.25">
      <c r="B24" s="1017"/>
      <c r="C24" s="368" t="s">
        <v>401</v>
      </c>
      <c r="D24" s="259">
        <v>1</v>
      </c>
      <c r="E24" s="259">
        <v>1</v>
      </c>
      <c r="F24" s="259">
        <v>1</v>
      </c>
      <c r="G24" s="259">
        <v>1</v>
      </c>
      <c r="H24" s="259">
        <v>1</v>
      </c>
      <c r="I24" s="259">
        <v>8</v>
      </c>
      <c r="J24" s="259">
        <v>5</v>
      </c>
      <c r="K24" s="259">
        <v>5</v>
      </c>
      <c r="L24" s="259">
        <v>5</v>
      </c>
      <c r="M24" s="259">
        <v>5</v>
      </c>
      <c r="N24" s="370">
        <v>0.111</v>
      </c>
      <c r="O24" s="442">
        <v>0.16700000000000001</v>
      </c>
      <c r="P24" s="442">
        <v>0.16700000000000001</v>
      </c>
      <c r="Q24" s="442">
        <v>0.16700000000000001</v>
      </c>
      <c r="R24" s="441">
        <f t="shared" si="0"/>
        <v>0.16666666666666666</v>
      </c>
    </row>
    <row r="25" spans="2:18" ht="22.5" customHeight="1" thickBot="1" x14ac:dyDescent="0.25">
      <c r="B25" s="1018"/>
      <c r="C25" s="368" t="s">
        <v>561</v>
      </c>
      <c r="D25" s="259">
        <v>0</v>
      </c>
      <c r="E25" s="259">
        <v>0</v>
      </c>
      <c r="F25" s="259">
        <v>0</v>
      </c>
      <c r="G25" s="259">
        <v>0</v>
      </c>
      <c r="H25" s="259">
        <v>2</v>
      </c>
      <c r="I25" s="259">
        <v>0</v>
      </c>
      <c r="J25" s="259">
        <v>0</v>
      </c>
      <c r="K25" s="259">
        <v>0</v>
      </c>
      <c r="L25" s="259">
        <v>0</v>
      </c>
      <c r="M25" s="259">
        <v>6</v>
      </c>
      <c r="N25" s="370">
        <v>0</v>
      </c>
      <c r="O25" s="442">
        <v>0</v>
      </c>
      <c r="P25" s="442">
        <v>0</v>
      </c>
      <c r="Q25" s="442">
        <v>0</v>
      </c>
      <c r="R25" s="441">
        <f t="shared" si="0"/>
        <v>0.25</v>
      </c>
    </row>
    <row r="26" spans="2:18" ht="22.5" customHeight="1" thickBot="1" x14ac:dyDescent="0.25">
      <c r="B26" s="1019" t="s">
        <v>402</v>
      </c>
      <c r="C26" s="367" t="s">
        <v>239</v>
      </c>
      <c r="D26" s="260">
        <v>6</v>
      </c>
      <c r="E26" s="260">
        <v>8</v>
      </c>
      <c r="F26" s="260">
        <v>8</v>
      </c>
      <c r="G26" s="260">
        <v>7</v>
      </c>
      <c r="H26" s="260">
        <v>12</v>
      </c>
      <c r="I26" s="260">
        <v>29</v>
      </c>
      <c r="J26" s="260">
        <v>27</v>
      </c>
      <c r="K26" s="260">
        <v>28</v>
      </c>
      <c r="L26" s="260">
        <v>27</v>
      </c>
      <c r="M26" s="260">
        <v>29</v>
      </c>
      <c r="N26" s="372">
        <v>0.17100000000000001</v>
      </c>
      <c r="O26" s="440">
        <v>0.22900000000000001</v>
      </c>
      <c r="P26" s="440">
        <v>0.222</v>
      </c>
      <c r="Q26" s="440">
        <v>0.20599999999999999</v>
      </c>
      <c r="R26" s="441">
        <f t="shared" si="0"/>
        <v>0.29268292682926828</v>
      </c>
    </row>
    <row r="27" spans="2:18" ht="22.5" customHeight="1" thickBot="1" x14ac:dyDescent="0.25">
      <c r="B27" s="1017"/>
      <c r="C27" s="368" t="s">
        <v>393</v>
      </c>
      <c r="D27" s="259">
        <v>2</v>
      </c>
      <c r="E27" s="259">
        <v>4</v>
      </c>
      <c r="F27" s="259">
        <v>3</v>
      </c>
      <c r="G27" s="259">
        <v>2</v>
      </c>
      <c r="H27" s="259">
        <v>4</v>
      </c>
      <c r="I27" s="259">
        <v>16</v>
      </c>
      <c r="J27" s="259">
        <v>13</v>
      </c>
      <c r="K27" s="259">
        <v>13</v>
      </c>
      <c r="L27" s="259">
        <v>11</v>
      </c>
      <c r="M27" s="259">
        <v>8</v>
      </c>
      <c r="N27" s="370">
        <v>0.111</v>
      </c>
      <c r="O27" s="442">
        <v>0.23499999999999999</v>
      </c>
      <c r="P27" s="442">
        <v>0.188</v>
      </c>
      <c r="Q27" s="442">
        <v>0.154</v>
      </c>
      <c r="R27" s="441">
        <f t="shared" si="0"/>
        <v>0.33333333333333331</v>
      </c>
    </row>
    <row r="28" spans="2:18" ht="22.5" customHeight="1" thickBot="1" x14ac:dyDescent="0.25">
      <c r="B28" s="1017"/>
      <c r="C28" s="368" t="s">
        <v>394</v>
      </c>
      <c r="D28" s="259">
        <v>0</v>
      </c>
      <c r="E28" s="259">
        <v>0</v>
      </c>
      <c r="F28" s="259">
        <v>0</v>
      </c>
      <c r="G28" s="259">
        <v>1</v>
      </c>
      <c r="H28" s="259">
        <v>2</v>
      </c>
      <c r="I28" s="259">
        <v>1</v>
      </c>
      <c r="J28" s="259">
        <v>2</v>
      </c>
      <c r="K28" s="259">
        <v>2</v>
      </c>
      <c r="L28" s="259">
        <v>3</v>
      </c>
      <c r="M28" s="259">
        <v>3</v>
      </c>
      <c r="N28" s="370">
        <v>0</v>
      </c>
      <c r="O28" s="442">
        <v>0</v>
      </c>
      <c r="P28" s="442">
        <v>0</v>
      </c>
      <c r="Q28" s="442">
        <v>0.25</v>
      </c>
      <c r="R28" s="441">
        <f t="shared" si="0"/>
        <v>0.4</v>
      </c>
    </row>
    <row r="29" spans="2:18" ht="22.5" customHeight="1" thickBot="1" x14ac:dyDescent="0.25">
      <c r="B29" s="1017"/>
      <c r="C29" s="368" t="s">
        <v>403</v>
      </c>
      <c r="D29" s="259">
        <v>0</v>
      </c>
      <c r="E29" s="259">
        <v>0</v>
      </c>
      <c r="F29" s="259">
        <v>0</v>
      </c>
      <c r="G29" s="259">
        <v>0</v>
      </c>
      <c r="H29" s="259">
        <v>0</v>
      </c>
      <c r="I29" s="259">
        <v>1</v>
      </c>
      <c r="J29" s="259">
        <v>1</v>
      </c>
      <c r="K29" s="259">
        <v>1</v>
      </c>
      <c r="L29" s="259">
        <v>1</v>
      </c>
      <c r="M29" s="259">
        <v>1</v>
      </c>
      <c r="N29" s="370">
        <v>0</v>
      </c>
      <c r="O29" s="442">
        <v>0</v>
      </c>
      <c r="P29" s="442">
        <v>0</v>
      </c>
      <c r="Q29" s="442">
        <v>0</v>
      </c>
      <c r="R29" s="441">
        <f t="shared" si="0"/>
        <v>0</v>
      </c>
    </row>
    <row r="30" spans="2:18" ht="22.5" customHeight="1" thickBot="1" x14ac:dyDescent="0.25">
      <c r="B30" s="1017"/>
      <c r="C30" s="368" t="s">
        <v>395</v>
      </c>
      <c r="D30" s="259">
        <v>0</v>
      </c>
      <c r="E30" s="259">
        <v>0</v>
      </c>
      <c r="F30" s="259">
        <v>0</v>
      </c>
      <c r="G30" s="259">
        <v>0</v>
      </c>
      <c r="H30" s="259">
        <v>0</v>
      </c>
      <c r="I30" s="259">
        <v>2</v>
      </c>
      <c r="J30" s="259">
        <v>2</v>
      </c>
      <c r="K30" s="259">
        <v>1</v>
      </c>
      <c r="L30" s="259">
        <v>1</v>
      </c>
      <c r="M30" s="259">
        <v>1</v>
      </c>
      <c r="N30" s="370">
        <v>0</v>
      </c>
      <c r="O30" s="442">
        <v>0</v>
      </c>
      <c r="P30" s="442">
        <v>0</v>
      </c>
      <c r="Q30" s="442">
        <v>0</v>
      </c>
      <c r="R30" s="441">
        <f t="shared" si="0"/>
        <v>0</v>
      </c>
    </row>
    <row r="31" spans="2:18" ht="22.5" customHeight="1" thickBot="1" x14ac:dyDescent="0.25">
      <c r="B31" s="1017"/>
      <c r="C31" s="368" t="s">
        <v>396</v>
      </c>
      <c r="D31" s="259">
        <v>1</v>
      </c>
      <c r="E31" s="259">
        <v>1</v>
      </c>
      <c r="F31" s="259">
        <v>1</v>
      </c>
      <c r="G31" s="259">
        <v>0</v>
      </c>
      <c r="H31" s="259">
        <v>0</v>
      </c>
      <c r="I31" s="259">
        <v>1</v>
      </c>
      <c r="J31" s="259">
        <v>0</v>
      </c>
      <c r="K31" s="259">
        <v>1</v>
      </c>
      <c r="L31" s="259">
        <v>1</v>
      </c>
      <c r="M31" s="259">
        <v>1</v>
      </c>
      <c r="N31" s="371">
        <v>0.5</v>
      </c>
      <c r="O31" s="442">
        <v>1</v>
      </c>
      <c r="P31" s="442">
        <v>0.5</v>
      </c>
      <c r="Q31" s="442">
        <v>0</v>
      </c>
      <c r="R31" s="441">
        <f t="shared" si="0"/>
        <v>0</v>
      </c>
    </row>
    <row r="32" spans="2:18" ht="22.5" customHeight="1" thickBot="1" x14ac:dyDescent="0.25">
      <c r="B32" s="1017"/>
      <c r="C32" s="368" t="s">
        <v>397</v>
      </c>
      <c r="D32" s="259">
        <v>2</v>
      </c>
      <c r="E32" s="259">
        <v>2</v>
      </c>
      <c r="F32" s="259">
        <v>2</v>
      </c>
      <c r="G32" s="259">
        <v>1</v>
      </c>
      <c r="H32" s="259">
        <v>0</v>
      </c>
      <c r="I32" s="259">
        <v>3</v>
      </c>
      <c r="J32" s="259">
        <v>2</v>
      </c>
      <c r="K32" s="259">
        <v>2</v>
      </c>
      <c r="L32" s="259">
        <v>2</v>
      </c>
      <c r="M32" s="259">
        <v>4</v>
      </c>
      <c r="N32" s="371">
        <v>0.4</v>
      </c>
      <c r="O32" s="442">
        <v>0.5</v>
      </c>
      <c r="P32" s="442">
        <v>0.5</v>
      </c>
      <c r="Q32" s="442">
        <v>0.33300000000000002</v>
      </c>
      <c r="R32" s="441">
        <f t="shared" si="0"/>
        <v>0</v>
      </c>
    </row>
    <row r="33" spans="2:18" ht="22.5" customHeight="1" thickBot="1" x14ac:dyDescent="0.25">
      <c r="B33" s="1017"/>
      <c r="C33" s="368" t="s">
        <v>398</v>
      </c>
      <c r="D33" s="259">
        <v>0</v>
      </c>
      <c r="E33" s="259">
        <v>0</v>
      </c>
      <c r="F33" s="259">
        <v>1</v>
      </c>
      <c r="G33" s="259">
        <v>2</v>
      </c>
      <c r="H33" s="259">
        <v>3</v>
      </c>
      <c r="I33" s="259">
        <v>0</v>
      </c>
      <c r="J33" s="259">
        <v>3</v>
      </c>
      <c r="K33" s="259">
        <v>4</v>
      </c>
      <c r="L33" s="259">
        <v>4</v>
      </c>
      <c r="M33" s="259">
        <v>3</v>
      </c>
      <c r="N33" s="370">
        <v>0</v>
      </c>
      <c r="O33" s="442">
        <v>0</v>
      </c>
      <c r="P33" s="442">
        <v>0.2</v>
      </c>
      <c r="Q33" s="442">
        <v>0.33300000000000002</v>
      </c>
      <c r="R33" s="441">
        <f t="shared" si="0"/>
        <v>0.5</v>
      </c>
    </row>
    <row r="34" spans="2:18" ht="22.5" customHeight="1" thickBot="1" x14ac:dyDescent="0.25">
      <c r="B34" s="1017"/>
      <c r="C34" s="368" t="s">
        <v>401</v>
      </c>
      <c r="D34" s="259">
        <v>1</v>
      </c>
      <c r="E34" s="259">
        <v>1</v>
      </c>
      <c r="F34" s="259">
        <v>1</v>
      </c>
      <c r="G34" s="259">
        <v>1</v>
      </c>
      <c r="H34" s="259">
        <v>1</v>
      </c>
      <c r="I34" s="259">
        <v>5</v>
      </c>
      <c r="J34" s="259">
        <v>4</v>
      </c>
      <c r="K34" s="259">
        <v>4</v>
      </c>
      <c r="L34" s="259">
        <v>4</v>
      </c>
      <c r="M34" s="259">
        <v>4</v>
      </c>
      <c r="N34" s="370">
        <v>0.16700000000000001</v>
      </c>
      <c r="O34" s="442">
        <v>0.2</v>
      </c>
      <c r="P34" s="442">
        <v>0.2</v>
      </c>
      <c r="Q34" s="442">
        <v>0.2</v>
      </c>
      <c r="R34" s="441">
        <f t="shared" si="0"/>
        <v>0.2</v>
      </c>
    </row>
    <row r="35" spans="2:18" ht="22.5" customHeight="1" thickBot="1" x14ac:dyDescent="0.25">
      <c r="B35" s="1020"/>
      <c r="C35" s="368" t="s">
        <v>561</v>
      </c>
      <c r="D35" s="259">
        <v>0</v>
      </c>
      <c r="E35" s="259">
        <v>0</v>
      </c>
      <c r="F35" s="259">
        <v>0</v>
      </c>
      <c r="G35" s="259">
        <v>0</v>
      </c>
      <c r="H35" s="259">
        <v>2</v>
      </c>
      <c r="I35" s="259">
        <v>0</v>
      </c>
      <c r="J35" s="259">
        <v>0</v>
      </c>
      <c r="K35" s="259">
        <v>0</v>
      </c>
      <c r="L35" s="259">
        <v>0</v>
      </c>
      <c r="M35" s="259">
        <v>4</v>
      </c>
      <c r="N35" s="370">
        <v>0</v>
      </c>
      <c r="O35" s="442">
        <v>0</v>
      </c>
      <c r="P35" s="442">
        <v>0</v>
      </c>
      <c r="Q35" s="442">
        <v>0</v>
      </c>
      <c r="R35" s="441">
        <f t="shared" si="0"/>
        <v>0.33333333333333331</v>
      </c>
    </row>
    <row r="36" spans="2:18" ht="22.5" customHeight="1" thickBot="1" x14ac:dyDescent="0.25">
      <c r="B36" s="1016" t="s">
        <v>404</v>
      </c>
      <c r="C36" s="257" t="s">
        <v>239</v>
      </c>
      <c r="D36" s="260">
        <v>21</v>
      </c>
      <c r="E36" s="260">
        <v>26</v>
      </c>
      <c r="F36" s="260">
        <v>25</v>
      </c>
      <c r="G36" s="260">
        <v>26</v>
      </c>
      <c r="H36" s="260">
        <v>32</v>
      </c>
      <c r="I36" s="260">
        <v>64</v>
      </c>
      <c r="J36" s="260">
        <v>58</v>
      </c>
      <c r="K36" s="260">
        <v>59</v>
      </c>
      <c r="L36" s="260">
        <v>66</v>
      </c>
      <c r="M36" s="260">
        <v>70</v>
      </c>
      <c r="N36" s="372">
        <v>0.247</v>
      </c>
      <c r="O36" s="440">
        <v>0.31</v>
      </c>
      <c r="P36" s="440">
        <v>0.29799999999999999</v>
      </c>
      <c r="Q36" s="440">
        <v>0.28299999999999997</v>
      </c>
      <c r="R36" s="441">
        <f t="shared" si="0"/>
        <v>0.31372549019607843</v>
      </c>
    </row>
    <row r="37" spans="2:18" ht="22.5" customHeight="1" thickBot="1" x14ac:dyDescent="0.25">
      <c r="B37" s="1017"/>
      <c r="C37" s="264" t="s">
        <v>393</v>
      </c>
      <c r="D37" s="259">
        <v>6</v>
      </c>
      <c r="E37" s="259">
        <v>12</v>
      </c>
      <c r="F37" s="259">
        <v>11</v>
      </c>
      <c r="G37" s="259">
        <v>11</v>
      </c>
      <c r="H37" s="259">
        <v>13</v>
      </c>
      <c r="I37" s="259">
        <v>17</v>
      </c>
      <c r="J37" s="259">
        <v>14</v>
      </c>
      <c r="K37" s="259">
        <v>17</v>
      </c>
      <c r="L37" s="259">
        <v>22</v>
      </c>
      <c r="M37" s="259">
        <v>12</v>
      </c>
      <c r="N37" s="370">
        <v>0.26100000000000001</v>
      </c>
      <c r="O37" s="442">
        <v>0.46200000000000002</v>
      </c>
      <c r="P37" s="442">
        <v>0.39300000000000002</v>
      </c>
      <c r="Q37" s="442">
        <v>0.33300000000000002</v>
      </c>
      <c r="R37" s="441">
        <f t="shared" si="0"/>
        <v>0.52</v>
      </c>
    </row>
    <row r="38" spans="2:18" ht="22.5" customHeight="1" thickBot="1" x14ac:dyDescent="0.25">
      <c r="B38" s="1017"/>
      <c r="C38" s="264" t="s">
        <v>395</v>
      </c>
      <c r="D38" s="259">
        <v>1</v>
      </c>
      <c r="E38" s="259">
        <v>1</v>
      </c>
      <c r="F38" s="259">
        <v>1</v>
      </c>
      <c r="G38" s="259">
        <v>1</v>
      </c>
      <c r="H38" s="259">
        <v>0</v>
      </c>
      <c r="I38" s="259">
        <v>1</v>
      </c>
      <c r="J38" s="259">
        <v>1</v>
      </c>
      <c r="K38" s="259">
        <v>0</v>
      </c>
      <c r="L38" s="259">
        <v>0</v>
      </c>
      <c r="M38" s="259">
        <v>11</v>
      </c>
      <c r="N38" s="371">
        <v>0.5</v>
      </c>
      <c r="O38" s="442">
        <v>0.5</v>
      </c>
      <c r="P38" s="442">
        <v>1</v>
      </c>
      <c r="Q38" s="442">
        <v>1</v>
      </c>
      <c r="R38" s="441">
        <f t="shared" si="0"/>
        <v>0</v>
      </c>
    </row>
    <row r="39" spans="2:18" ht="22.5" customHeight="1" thickBot="1" x14ac:dyDescent="0.25">
      <c r="B39" s="1017"/>
      <c r="C39" s="264" t="s">
        <v>395</v>
      </c>
      <c r="D39" s="259">
        <v>0</v>
      </c>
      <c r="E39" s="259">
        <v>0</v>
      </c>
      <c r="F39" s="259">
        <v>0</v>
      </c>
      <c r="G39" s="259">
        <v>0</v>
      </c>
      <c r="H39" s="259">
        <v>0</v>
      </c>
      <c r="I39" s="259">
        <v>17</v>
      </c>
      <c r="J39" s="259">
        <v>15</v>
      </c>
      <c r="K39" s="259">
        <v>13</v>
      </c>
      <c r="L39" s="259">
        <v>12</v>
      </c>
      <c r="M39" s="259">
        <v>0</v>
      </c>
      <c r="N39" s="370">
        <v>0</v>
      </c>
      <c r="O39" s="442">
        <v>0</v>
      </c>
      <c r="P39" s="442">
        <v>0</v>
      </c>
      <c r="Q39" s="442">
        <v>0</v>
      </c>
      <c r="R39" s="441">
        <v>0</v>
      </c>
    </row>
    <row r="40" spans="2:18" ht="22.5" customHeight="1" thickBot="1" x14ac:dyDescent="0.25">
      <c r="B40" s="1017"/>
      <c r="C40" s="264" t="s">
        <v>396</v>
      </c>
      <c r="D40" s="259">
        <v>0</v>
      </c>
      <c r="E40" s="259">
        <v>0</v>
      </c>
      <c r="F40" s="259">
        <v>0</v>
      </c>
      <c r="G40" s="259">
        <v>0</v>
      </c>
      <c r="H40" s="259">
        <v>1</v>
      </c>
      <c r="I40" s="259">
        <v>1</v>
      </c>
      <c r="J40" s="259">
        <v>0</v>
      </c>
      <c r="K40" s="259">
        <v>2</v>
      </c>
      <c r="L40" s="259">
        <v>3</v>
      </c>
      <c r="M40" s="259">
        <v>4</v>
      </c>
      <c r="N40" s="370">
        <v>0</v>
      </c>
      <c r="O40" s="442">
        <v>0</v>
      </c>
      <c r="P40" s="442">
        <v>0</v>
      </c>
      <c r="Q40" s="442">
        <v>0</v>
      </c>
      <c r="R40" s="441">
        <f t="shared" si="0"/>
        <v>0.2</v>
      </c>
    </row>
    <row r="41" spans="2:18" ht="22.5" customHeight="1" thickBot="1" x14ac:dyDescent="0.25">
      <c r="B41" s="1017"/>
      <c r="C41" s="264" t="s">
        <v>397</v>
      </c>
      <c r="D41" s="259">
        <v>3</v>
      </c>
      <c r="E41" s="259">
        <v>3</v>
      </c>
      <c r="F41" s="259">
        <v>1</v>
      </c>
      <c r="G41" s="259">
        <v>1</v>
      </c>
      <c r="H41" s="259">
        <v>1</v>
      </c>
      <c r="I41" s="259">
        <v>5</v>
      </c>
      <c r="J41" s="259">
        <v>5</v>
      </c>
      <c r="K41" s="259">
        <v>5</v>
      </c>
      <c r="L41" s="259">
        <v>6</v>
      </c>
      <c r="M41" s="259">
        <v>8</v>
      </c>
      <c r="N41" s="371">
        <v>0.375</v>
      </c>
      <c r="O41" s="442">
        <v>0.375</v>
      </c>
      <c r="P41" s="442">
        <v>0.16700000000000001</v>
      </c>
      <c r="Q41" s="442">
        <v>0.14299999999999999</v>
      </c>
      <c r="R41" s="441">
        <f t="shared" si="0"/>
        <v>0.1111111111111111</v>
      </c>
    </row>
    <row r="42" spans="2:18" ht="22.5" customHeight="1" thickBot="1" x14ac:dyDescent="0.25">
      <c r="B42" s="1017"/>
      <c r="C42" s="264" t="s">
        <v>398</v>
      </c>
      <c r="D42" s="259">
        <v>0</v>
      </c>
      <c r="E42" s="259">
        <v>0</v>
      </c>
      <c r="F42" s="259">
        <v>1</v>
      </c>
      <c r="G42" s="259">
        <v>3</v>
      </c>
      <c r="H42" s="259">
        <v>3</v>
      </c>
      <c r="I42" s="261"/>
      <c r="J42" s="261"/>
      <c r="K42" s="261"/>
      <c r="L42" s="261"/>
      <c r="M42" s="261">
        <v>5</v>
      </c>
      <c r="N42" s="370">
        <v>0</v>
      </c>
      <c r="O42" s="442">
        <v>0</v>
      </c>
      <c r="P42" s="442">
        <v>1</v>
      </c>
      <c r="Q42" s="442">
        <v>1</v>
      </c>
      <c r="R42" s="441">
        <f t="shared" si="0"/>
        <v>0.375</v>
      </c>
    </row>
    <row r="43" spans="2:18" ht="22.5" customHeight="1" thickBot="1" x14ac:dyDescent="0.25">
      <c r="B43" s="1017"/>
      <c r="C43" s="264" t="s">
        <v>401</v>
      </c>
      <c r="D43" s="259">
        <v>10</v>
      </c>
      <c r="E43" s="259">
        <v>9</v>
      </c>
      <c r="F43" s="259">
        <v>10</v>
      </c>
      <c r="G43" s="259">
        <v>9</v>
      </c>
      <c r="H43" s="259">
        <v>10</v>
      </c>
      <c r="I43" s="259">
        <v>22</v>
      </c>
      <c r="J43" s="259">
        <v>21</v>
      </c>
      <c r="K43" s="259">
        <v>21</v>
      </c>
      <c r="L43" s="259">
        <v>22</v>
      </c>
      <c r="M43" s="259">
        <v>20</v>
      </c>
      <c r="N43" s="371">
        <v>0.313</v>
      </c>
      <c r="O43" s="442">
        <v>0.3</v>
      </c>
      <c r="P43" s="442">
        <v>0.32300000000000001</v>
      </c>
      <c r="Q43" s="442">
        <v>0.28999999999999998</v>
      </c>
      <c r="R43" s="441">
        <f t="shared" si="0"/>
        <v>0.33333333333333331</v>
      </c>
    </row>
    <row r="44" spans="2:18" ht="22.5" customHeight="1" thickBot="1" x14ac:dyDescent="0.25">
      <c r="B44" s="1017"/>
      <c r="C44" s="264" t="s">
        <v>399</v>
      </c>
      <c r="D44" s="259">
        <v>1</v>
      </c>
      <c r="E44" s="259">
        <v>1</v>
      </c>
      <c r="F44" s="259">
        <v>1</v>
      </c>
      <c r="G44" s="259">
        <v>1</v>
      </c>
      <c r="H44" s="259">
        <v>0</v>
      </c>
      <c r="I44" s="259">
        <v>1</v>
      </c>
      <c r="J44" s="259">
        <v>2</v>
      </c>
      <c r="K44" s="259">
        <v>1</v>
      </c>
      <c r="L44" s="259">
        <v>1</v>
      </c>
      <c r="M44" s="259">
        <v>0</v>
      </c>
      <c r="N44" s="371">
        <v>0.5</v>
      </c>
      <c r="O44" s="442">
        <v>0.33300000000000002</v>
      </c>
      <c r="P44" s="442">
        <v>0.5</v>
      </c>
      <c r="Q44" s="442">
        <v>0.5</v>
      </c>
      <c r="R44" s="441">
        <v>0</v>
      </c>
    </row>
    <row r="45" spans="2:18" ht="22.5" customHeight="1" thickBot="1" x14ac:dyDescent="0.25">
      <c r="B45" s="1020"/>
      <c r="C45" s="264" t="s">
        <v>561</v>
      </c>
      <c r="D45" s="259">
        <v>0</v>
      </c>
      <c r="E45" s="259">
        <v>0</v>
      </c>
      <c r="F45" s="259">
        <v>0</v>
      </c>
      <c r="G45" s="259">
        <v>0</v>
      </c>
      <c r="H45" s="259">
        <v>4</v>
      </c>
      <c r="I45" s="259">
        <v>0</v>
      </c>
      <c r="J45" s="259">
        <v>0</v>
      </c>
      <c r="K45" s="259">
        <v>0</v>
      </c>
      <c r="L45" s="259">
        <v>0</v>
      </c>
      <c r="M45" s="259">
        <v>10</v>
      </c>
      <c r="N45" s="371" t="s">
        <v>562</v>
      </c>
      <c r="O45" s="442">
        <v>0</v>
      </c>
      <c r="P45" s="442">
        <v>0</v>
      </c>
      <c r="Q45" s="442">
        <v>0</v>
      </c>
      <c r="R45" s="441">
        <f t="shared" si="0"/>
        <v>0.2857142857142857</v>
      </c>
    </row>
    <row r="46" spans="2:18" ht="22.5" customHeight="1" thickBot="1" x14ac:dyDescent="0.25">
      <c r="B46" s="1021" t="s">
        <v>405</v>
      </c>
      <c r="C46" s="377" t="s">
        <v>239</v>
      </c>
      <c r="D46" s="378">
        <v>30</v>
      </c>
      <c r="E46" s="378">
        <v>35</v>
      </c>
      <c r="F46" s="378">
        <v>32</v>
      </c>
      <c r="G46" s="378">
        <v>38</v>
      </c>
      <c r="H46" s="378">
        <v>36</v>
      </c>
      <c r="I46" s="378">
        <v>47</v>
      </c>
      <c r="J46" s="378">
        <v>50</v>
      </c>
      <c r="K46" s="378">
        <v>46</v>
      </c>
      <c r="L46" s="378">
        <v>56</v>
      </c>
      <c r="M46" s="378">
        <v>59</v>
      </c>
      <c r="N46" s="373">
        <v>0.39</v>
      </c>
      <c r="O46" s="440">
        <v>0.41199999999999998</v>
      </c>
      <c r="P46" s="440">
        <v>0.41</v>
      </c>
      <c r="Q46" s="440">
        <v>0.40400000000000003</v>
      </c>
      <c r="R46" s="441">
        <f t="shared" si="0"/>
        <v>0.37894736842105264</v>
      </c>
    </row>
    <row r="47" spans="2:18" ht="22.5" customHeight="1" thickBot="1" x14ac:dyDescent="0.25">
      <c r="B47" s="1021"/>
      <c r="C47" s="354" t="s">
        <v>393</v>
      </c>
      <c r="D47" s="379">
        <v>12</v>
      </c>
      <c r="E47" s="379">
        <v>17</v>
      </c>
      <c r="F47" s="379">
        <v>12</v>
      </c>
      <c r="G47" s="379">
        <v>17</v>
      </c>
      <c r="H47" s="379">
        <v>14</v>
      </c>
      <c r="I47" s="379">
        <v>8</v>
      </c>
      <c r="J47" s="379">
        <v>16</v>
      </c>
      <c r="K47" s="379">
        <v>10</v>
      </c>
      <c r="L47" s="379">
        <v>18</v>
      </c>
      <c r="M47" s="379">
        <v>15</v>
      </c>
      <c r="N47" s="371">
        <v>0.6</v>
      </c>
      <c r="O47" s="442">
        <v>0.51500000000000001</v>
      </c>
      <c r="P47" s="442">
        <v>0.54500000000000004</v>
      </c>
      <c r="Q47" s="442">
        <v>0.48599999999999999</v>
      </c>
      <c r="R47" s="441">
        <f t="shared" si="0"/>
        <v>0.48275862068965519</v>
      </c>
    </row>
    <row r="48" spans="2:18" ht="22.5" customHeight="1" thickBot="1" x14ac:dyDescent="0.25">
      <c r="B48" s="1021"/>
      <c r="C48" s="354" t="s">
        <v>394</v>
      </c>
      <c r="D48" s="379">
        <v>1</v>
      </c>
      <c r="E48" s="379">
        <v>1</v>
      </c>
      <c r="F48" s="379">
        <v>1</v>
      </c>
      <c r="G48" s="379">
        <v>1</v>
      </c>
      <c r="H48" s="379">
        <v>1</v>
      </c>
      <c r="I48" s="379">
        <v>0</v>
      </c>
      <c r="J48" s="379">
        <v>0</v>
      </c>
      <c r="K48" s="379" t="s">
        <v>563</v>
      </c>
      <c r="L48" s="379">
        <v>0</v>
      </c>
      <c r="M48" s="379">
        <v>3</v>
      </c>
      <c r="N48" s="371">
        <v>1</v>
      </c>
      <c r="O48" s="442">
        <v>1</v>
      </c>
      <c r="P48" s="442">
        <v>1</v>
      </c>
      <c r="Q48" s="442">
        <v>1</v>
      </c>
      <c r="R48" s="441">
        <f t="shared" si="0"/>
        <v>0.25</v>
      </c>
    </row>
    <row r="49" spans="2:18" ht="22.5" customHeight="1" thickBot="1" x14ac:dyDescent="0.25">
      <c r="B49" s="1021"/>
      <c r="C49" s="354" t="s">
        <v>395</v>
      </c>
      <c r="D49" s="379">
        <v>9</v>
      </c>
      <c r="E49" s="379">
        <v>8</v>
      </c>
      <c r="F49" s="379">
        <v>8</v>
      </c>
      <c r="G49" s="379">
        <v>9</v>
      </c>
      <c r="H49" s="379">
        <v>8</v>
      </c>
      <c r="I49" s="379">
        <v>14</v>
      </c>
      <c r="J49" s="379">
        <v>12</v>
      </c>
      <c r="K49" s="379">
        <v>10</v>
      </c>
      <c r="L49" s="379">
        <v>10</v>
      </c>
      <c r="M49" s="379">
        <v>9</v>
      </c>
      <c r="N49" s="371">
        <v>0.39100000000000001</v>
      </c>
      <c r="O49" s="442">
        <v>0.4</v>
      </c>
      <c r="P49" s="442">
        <v>0.44400000000000001</v>
      </c>
      <c r="Q49" s="442">
        <v>0.47399999999999998</v>
      </c>
      <c r="R49" s="441">
        <f t="shared" si="0"/>
        <v>0.47058823529411764</v>
      </c>
    </row>
    <row r="50" spans="2:18" ht="22.5" customHeight="1" thickBot="1" x14ac:dyDescent="0.25">
      <c r="B50" s="1021"/>
      <c r="C50" s="354" t="s">
        <v>396</v>
      </c>
      <c r="D50" s="379">
        <v>0</v>
      </c>
      <c r="E50" s="379">
        <v>1</v>
      </c>
      <c r="F50" s="379">
        <v>1</v>
      </c>
      <c r="G50" s="379">
        <v>1</v>
      </c>
      <c r="H50" s="379">
        <v>0</v>
      </c>
      <c r="I50" s="379">
        <v>3</v>
      </c>
      <c r="J50" s="379">
        <v>0</v>
      </c>
      <c r="K50" s="379">
        <v>1</v>
      </c>
      <c r="L50" s="379">
        <v>1</v>
      </c>
      <c r="M50" s="379">
        <v>3</v>
      </c>
      <c r="N50" s="371">
        <v>0</v>
      </c>
      <c r="O50" s="442">
        <v>1</v>
      </c>
      <c r="P50" s="442">
        <v>0.5</v>
      </c>
      <c r="Q50" s="442">
        <v>0.5</v>
      </c>
      <c r="R50" s="441">
        <f t="shared" si="0"/>
        <v>0</v>
      </c>
    </row>
    <row r="51" spans="2:18" ht="22.5" customHeight="1" thickBot="1" x14ac:dyDescent="0.25">
      <c r="B51" s="1021"/>
      <c r="C51" s="354" t="s">
        <v>397</v>
      </c>
      <c r="D51" s="379">
        <v>3</v>
      </c>
      <c r="E51" s="379">
        <v>3</v>
      </c>
      <c r="F51" s="379">
        <v>4</v>
      </c>
      <c r="G51" s="379">
        <v>5</v>
      </c>
      <c r="H51" s="379">
        <v>5</v>
      </c>
      <c r="I51" s="379">
        <v>11</v>
      </c>
      <c r="J51" s="379">
        <v>11</v>
      </c>
      <c r="K51" s="379">
        <v>12</v>
      </c>
      <c r="L51" s="379">
        <v>15</v>
      </c>
      <c r="M51" s="379">
        <v>14</v>
      </c>
      <c r="N51" s="370">
        <v>0.214</v>
      </c>
      <c r="O51" s="442">
        <v>0.214</v>
      </c>
      <c r="P51" s="442">
        <v>0.25</v>
      </c>
      <c r="Q51" s="442">
        <v>0.25</v>
      </c>
      <c r="R51" s="441">
        <f t="shared" si="0"/>
        <v>0.26315789473684209</v>
      </c>
    </row>
    <row r="52" spans="2:18" ht="22.5" customHeight="1" thickBot="1" x14ac:dyDescent="0.25">
      <c r="B52" s="1021"/>
      <c r="C52" s="354" t="s">
        <v>398</v>
      </c>
      <c r="D52" s="379">
        <v>0</v>
      </c>
      <c r="E52" s="379">
        <v>0</v>
      </c>
      <c r="F52" s="379">
        <v>0</v>
      </c>
      <c r="G52" s="379">
        <v>0</v>
      </c>
      <c r="H52" s="379">
        <v>0</v>
      </c>
      <c r="I52" s="379">
        <v>0</v>
      </c>
      <c r="J52" s="379">
        <v>0</v>
      </c>
      <c r="K52" s="379">
        <v>1</v>
      </c>
      <c r="L52" s="379">
        <v>1</v>
      </c>
      <c r="M52" s="379">
        <v>1</v>
      </c>
      <c r="N52" s="371">
        <v>0</v>
      </c>
      <c r="O52" s="442">
        <v>0</v>
      </c>
      <c r="P52" s="442">
        <v>0</v>
      </c>
      <c r="Q52" s="442">
        <v>0</v>
      </c>
      <c r="R52" s="441">
        <f t="shared" si="0"/>
        <v>0</v>
      </c>
    </row>
    <row r="53" spans="2:18" ht="22.5" customHeight="1" thickBot="1" x14ac:dyDescent="0.25">
      <c r="B53" s="1021"/>
      <c r="C53" s="354" t="s">
        <v>401</v>
      </c>
      <c r="D53" s="379">
        <v>5</v>
      </c>
      <c r="E53" s="379">
        <v>5</v>
      </c>
      <c r="F53" s="379">
        <v>6</v>
      </c>
      <c r="G53" s="379">
        <v>5</v>
      </c>
      <c r="H53" s="379">
        <v>5</v>
      </c>
      <c r="I53" s="379">
        <v>11</v>
      </c>
      <c r="J53" s="379">
        <v>11</v>
      </c>
      <c r="K53" s="379">
        <v>12</v>
      </c>
      <c r="L53" s="379">
        <v>11</v>
      </c>
      <c r="M53" s="379">
        <v>9</v>
      </c>
      <c r="N53" s="371">
        <v>0.313</v>
      </c>
      <c r="O53" s="442">
        <v>0.313</v>
      </c>
      <c r="P53" s="442">
        <v>0.33300000000000002</v>
      </c>
      <c r="Q53" s="442">
        <v>0.313</v>
      </c>
      <c r="R53" s="441">
        <f t="shared" si="0"/>
        <v>0.35714285714285715</v>
      </c>
    </row>
    <row r="54" spans="2:18" ht="22.5" customHeight="1" thickBot="1" x14ac:dyDescent="0.25">
      <c r="B54" s="1021"/>
      <c r="C54" s="354" t="s">
        <v>561</v>
      </c>
      <c r="D54" s="379">
        <v>0</v>
      </c>
      <c r="E54" s="379">
        <v>0</v>
      </c>
      <c r="F54" s="379">
        <v>0</v>
      </c>
      <c r="G54" s="379">
        <v>0</v>
      </c>
      <c r="H54" s="379">
        <v>3</v>
      </c>
      <c r="I54" s="379">
        <v>0</v>
      </c>
      <c r="J54" s="379">
        <v>0</v>
      </c>
      <c r="K54" s="379">
        <v>0</v>
      </c>
      <c r="L54" s="379">
        <v>0</v>
      </c>
      <c r="M54" s="379">
        <v>5</v>
      </c>
      <c r="N54" s="371">
        <v>0</v>
      </c>
      <c r="O54" s="442">
        <v>0</v>
      </c>
      <c r="P54" s="442">
        <v>0</v>
      </c>
      <c r="Q54" s="442">
        <v>0</v>
      </c>
      <c r="R54" s="441">
        <f t="shared" si="0"/>
        <v>0.375</v>
      </c>
    </row>
    <row r="55" spans="2:18" ht="22.5" customHeight="1" x14ac:dyDescent="0.2">
      <c r="B55" s="262"/>
      <c r="C55" s="262"/>
      <c r="D55" s="374"/>
      <c r="E55" s="374"/>
      <c r="F55" s="374"/>
      <c r="G55" s="374"/>
      <c r="H55" s="374"/>
      <c r="I55" s="374"/>
      <c r="J55" s="374"/>
      <c r="K55" s="374"/>
      <c r="L55" s="374"/>
      <c r="M55" s="374"/>
      <c r="N55" s="375"/>
      <c r="O55" s="375"/>
      <c r="P55" s="375"/>
      <c r="Q55" s="375"/>
      <c r="R55" s="376"/>
    </row>
    <row r="56" spans="2:18" ht="22.5" customHeight="1" x14ac:dyDescent="0.2">
      <c r="B56" s="262"/>
      <c r="C56" s="262"/>
      <c r="D56" s="374"/>
      <c r="E56" s="374"/>
      <c r="F56" s="374"/>
      <c r="G56" s="374"/>
      <c r="H56" s="374"/>
      <c r="I56" s="374"/>
      <c r="J56" s="374"/>
      <c r="K56" s="374"/>
      <c r="L56" s="374"/>
      <c r="M56" s="374"/>
      <c r="N56" s="375"/>
      <c r="O56" s="375"/>
      <c r="P56" s="375"/>
      <c r="Q56" s="375"/>
      <c r="R56" s="376"/>
    </row>
    <row r="58" spans="2:18" ht="22.5" customHeight="1" thickBot="1" x14ac:dyDescent="0.25">
      <c r="B58" s="96"/>
      <c r="D58" s="204" t="s">
        <v>203</v>
      </c>
      <c r="E58" s="204" t="s">
        <v>204</v>
      </c>
      <c r="F58" s="204" t="s">
        <v>205</v>
      </c>
      <c r="G58" s="204" t="s">
        <v>256</v>
      </c>
      <c r="H58" s="96"/>
      <c r="I58" s="96"/>
      <c r="J58" s="96"/>
      <c r="K58" s="162"/>
    </row>
    <row r="59" spans="2:18" ht="22.5" customHeight="1" x14ac:dyDescent="0.2">
      <c r="B59" s="1015" t="s">
        <v>406</v>
      </c>
      <c r="C59" s="163" t="s">
        <v>221</v>
      </c>
      <c r="D59" s="158">
        <v>0.128</v>
      </c>
      <c r="E59" s="158">
        <v>0.128</v>
      </c>
      <c r="F59" s="158">
        <v>0.192</v>
      </c>
      <c r="G59" s="158">
        <v>0.29270000000000002</v>
      </c>
      <c r="H59" s="96"/>
      <c r="I59" s="96"/>
      <c r="J59" s="96"/>
      <c r="K59" s="162"/>
    </row>
    <row r="60" spans="2:18" ht="22.5" customHeight="1" x14ac:dyDescent="0.2">
      <c r="B60" s="1015"/>
      <c r="C60" s="164" t="s">
        <v>228</v>
      </c>
      <c r="D60" s="160">
        <v>0.36199999999999999</v>
      </c>
      <c r="E60" s="160">
        <v>0.36199999999999999</v>
      </c>
      <c r="F60" s="160">
        <v>0.40400000000000003</v>
      </c>
      <c r="G60" s="158">
        <v>0.27479999999999999</v>
      </c>
      <c r="H60" s="96"/>
      <c r="I60" s="96"/>
      <c r="J60" s="96"/>
      <c r="K60" s="162"/>
    </row>
    <row r="61" spans="2:18" ht="22.5" customHeight="1" x14ac:dyDescent="0.2">
      <c r="B61" s="1015"/>
      <c r="C61" s="164" t="s">
        <v>226</v>
      </c>
      <c r="D61" s="160">
        <v>0.14799999999999999</v>
      </c>
      <c r="E61" s="160">
        <v>0.14799999999999999</v>
      </c>
      <c r="F61" s="160">
        <v>0.28299999999999997</v>
      </c>
      <c r="G61" s="158">
        <v>0.37890000000000001</v>
      </c>
      <c r="H61" s="96"/>
      <c r="I61" s="96"/>
      <c r="J61" s="96"/>
      <c r="K61" s="162"/>
    </row>
    <row r="62" spans="2:18" ht="22.5" customHeight="1" x14ac:dyDescent="0.2">
      <c r="B62" s="1015"/>
      <c r="C62" s="165" t="s">
        <v>224</v>
      </c>
      <c r="D62" s="160">
        <v>0.27300000000000002</v>
      </c>
      <c r="E62" s="160">
        <v>0.27300000000000002</v>
      </c>
      <c r="F62" s="160">
        <v>0.20599999999999999</v>
      </c>
      <c r="G62" s="158">
        <v>0.31369999999999998</v>
      </c>
      <c r="H62" s="96"/>
      <c r="I62" s="96"/>
      <c r="J62" s="96"/>
      <c r="K62" s="162"/>
    </row>
    <row r="63" spans="2:18" ht="22.5" customHeight="1" x14ac:dyDescent="0.2">
      <c r="C63" s="147" t="s">
        <v>207</v>
      </c>
      <c r="D63" s="100">
        <v>0.3</v>
      </c>
      <c r="E63" s="100">
        <v>0.3</v>
      </c>
      <c r="F63" s="100">
        <v>0.3</v>
      </c>
      <c r="G63" s="149">
        <v>0.3</v>
      </c>
      <c r="H63" s="12"/>
      <c r="I63" s="12"/>
      <c r="J63" s="12"/>
      <c r="K63" s="137"/>
    </row>
    <row r="64" spans="2:18" ht="22.5" customHeight="1" x14ac:dyDescent="0.2">
      <c r="B64" s="13"/>
      <c r="C64" s="147" t="s">
        <v>407</v>
      </c>
      <c r="D64" s="11">
        <f>COUNTIF(D59:D62,"&gt;=30%")</f>
        <v>1</v>
      </c>
      <c r="E64" s="11">
        <f>COUNTIF(E59:E62,"&gt;=30%")</f>
        <v>1</v>
      </c>
      <c r="F64" s="11">
        <f>COUNTIF(F59:F62,"&gt;=30%")</f>
        <v>1</v>
      </c>
      <c r="G64" s="11">
        <v>2</v>
      </c>
      <c r="H64" s="12" t="s">
        <v>155</v>
      </c>
      <c r="I64" s="12" t="s">
        <v>155</v>
      </c>
      <c r="J64" s="12" t="s">
        <v>155</v>
      </c>
      <c r="K64" s="12" t="s">
        <v>155</v>
      </c>
    </row>
    <row r="65" spans="2:11" ht="22.5" customHeight="1" x14ac:dyDescent="0.2">
      <c r="B65" s="13"/>
      <c r="C65" s="147" t="s">
        <v>239</v>
      </c>
      <c r="D65" s="11">
        <f>COUNT(D59:D62)</f>
        <v>4</v>
      </c>
      <c r="E65" s="11">
        <f>COUNT(E59:E62)</f>
        <v>4</v>
      </c>
      <c r="F65" s="11">
        <f>COUNT(F59:F62)</f>
        <v>4</v>
      </c>
      <c r="G65" s="11">
        <v>4</v>
      </c>
      <c r="H65" s="12" t="s">
        <v>155</v>
      </c>
      <c r="I65" s="12" t="s">
        <v>155</v>
      </c>
      <c r="J65" s="12" t="s">
        <v>155</v>
      </c>
      <c r="K65" s="12" t="s">
        <v>155</v>
      </c>
    </row>
    <row r="66" spans="2:11" ht="22.5" customHeight="1" x14ac:dyDescent="0.2">
      <c r="B66" s="13"/>
      <c r="C66" s="147" t="s">
        <v>408</v>
      </c>
      <c r="D66" s="149">
        <v>0.22770000000000001</v>
      </c>
      <c r="E66" s="149">
        <v>0.22770000000000001</v>
      </c>
      <c r="F66" s="149">
        <v>0.2712</v>
      </c>
      <c r="G66" s="149">
        <v>0.5</v>
      </c>
      <c r="H66" s="137" t="s">
        <v>155</v>
      </c>
      <c r="I66" s="137" t="s">
        <v>155</v>
      </c>
      <c r="J66" s="137" t="s">
        <v>155</v>
      </c>
      <c r="K66" s="161" t="s">
        <v>155</v>
      </c>
    </row>
    <row r="67" spans="2:11" ht="22.5" customHeight="1" x14ac:dyDescent="0.2">
      <c r="B67" s="13"/>
      <c r="C67" s="12"/>
      <c r="D67" s="12"/>
      <c r="E67" s="12"/>
      <c r="F67" s="12"/>
      <c r="G67" s="12"/>
      <c r="H67" s="12"/>
      <c r="I67" s="12"/>
      <c r="J67" s="12"/>
      <c r="K67" s="12"/>
    </row>
    <row r="68" spans="2:11" ht="22.5" customHeight="1" x14ac:dyDescent="0.2">
      <c r="B68" s="13"/>
      <c r="C68" s="12"/>
      <c r="D68" s="12"/>
      <c r="E68" s="12"/>
      <c r="F68" s="12"/>
      <c r="G68" s="12"/>
      <c r="H68" s="12"/>
      <c r="I68" s="12"/>
      <c r="J68" s="12"/>
      <c r="K68" s="12"/>
    </row>
    <row r="69" spans="2:11" ht="22.5" customHeight="1" x14ac:dyDescent="0.2">
      <c r="B69" s="567" t="s">
        <v>469</v>
      </c>
      <c r="C69" s="568"/>
      <c r="D69" s="568"/>
      <c r="E69" s="569"/>
      <c r="F69" s="12"/>
      <c r="G69" s="12"/>
      <c r="H69" s="12"/>
      <c r="I69" s="12"/>
      <c r="J69" s="12"/>
      <c r="K69" s="12"/>
    </row>
    <row r="70" spans="2:11" ht="22.5" customHeight="1" x14ac:dyDescent="0.2">
      <c r="B70" s="18"/>
      <c r="C70" s="18"/>
      <c r="D70" s="18"/>
      <c r="E70" s="18"/>
      <c r="F70" s="18"/>
      <c r="G70" s="18"/>
      <c r="H70" s="820"/>
      <c r="I70" s="820"/>
      <c r="J70" s="820"/>
      <c r="K70" s="12"/>
    </row>
    <row r="71" spans="2:11" ht="22.5" customHeight="1" x14ac:dyDescent="0.2">
      <c r="B71" s="8"/>
      <c r="C71" s="8"/>
      <c r="D71" s="8"/>
      <c r="E71" s="8"/>
      <c r="F71" s="8"/>
      <c r="G71" s="8"/>
      <c r="H71" s="9"/>
      <c r="I71" s="9"/>
      <c r="J71" s="9"/>
      <c r="K71" s="9"/>
    </row>
    <row r="72" spans="2:11" ht="6" customHeight="1" x14ac:dyDescent="0.2">
      <c r="B72" s="8"/>
      <c r="C72" s="8"/>
      <c r="D72" s="8"/>
      <c r="E72" s="8"/>
      <c r="F72" s="8"/>
      <c r="G72" s="8"/>
      <c r="H72" s="752"/>
      <c r="I72" s="752"/>
      <c r="J72" s="752"/>
      <c r="K72" s="103"/>
    </row>
    <row r="73" spans="2:11" ht="19.5" customHeight="1" x14ac:dyDescent="0.2">
      <c r="H73" s="574"/>
      <c r="I73" s="574"/>
      <c r="J73" s="752"/>
    </row>
    <row r="74" spans="2:11" ht="19.5" customHeight="1" x14ac:dyDescent="0.2">
      <c r="H74" s="574"/>
      <c r="I74" s="574"/>
      <c r="J74" s="752"/>
    </row>
    <row r="75" spans="2:11" ht="19.5" customHeight="1" x14ac:dyDescent="0.2">
      <c r="H75" s="574"/>
      <c r="I75" s="574"/>
      <c r="J75" s="752"/>
    </row>
    <row r="76" spans="2:11" ht="19.5" customHeight="1" x14ac:dyDescent="0.2">
      <c r="H76" s="574"/>
      <c r="I76" s="574"/>
      <c r="J76" s="752"/>
    </row>
    <row r="77" spans="2:11" ht="19.5" customHeight="1" x14ac:dyDescent="0.2">
      <c r="H77" s="574"/>
      <c r="I77" s="574"/>
      <c r="J77" s="752"/>
    </row>
    <row r="78" spans="2:11" ht="19.5" customHeight="1" x14ac:dyDescent="0.2">
      <c r="H78" s="574"/>
      <c r="I78" s="574"/>
      <c r="J78" s="752"/>
    </row>
    <row r="79" spans="2:11" ht="19.5" customHeight="1" x14ac:dyDescent="0.2">
      <c r="H79" s="574"/>
      <c r="I79" s="574"/>
      <c r="J79" s="752"/>
    </row>
    <row r="80" spans="2:11" ht="19.5" customHeight="1" x14ac:dyDescent="0.2">
      <c r="H80" s="752"/>
      <c r="I80" s="752"/>
      <c r="J80" s="752"/>
    </row>
    <row r="81" spans="8:10" ht="19.5" customHeight="1" x14ac:dyDescent="0.2"/>
    <row r="82" spans="8:10" ht="19.5" customHeight="1" x14ac:dyDescent="0.2">
      <c r="H82" s="559" t="s">
        <v>155</v>
      </c>
      <c r="I82" s="560"/>
      <c r="J82" s="560"/>
    </row>
  </sheetData>
  <sheetProtection formatCells="0" formatColumns="0" formatRows="0" insertColumns="0" insertRows="0" insertHyperlinks="0" deleteColumns="0" deleteRows="0" pivotTables="0"/>
  <mergeCells count="42">
    <mergeCell ref="V6:Y6"/>
    <mergeCell ref="D13:H13"/>
    <mergeCell ref="I13:M13"/>
    <mergeCell ref="N13:R13"/>
    <mergeCell ref="B8:C8"/>
    <mergeCell ref="D8:E8"/>
    <mergeCell ref="F8:G8"/>
    <mergeCell ref="H8:J8"/>
    <mergeCell ref="D9:E9"/>
    <mergeCell ref="F9:G9"/>
    <mergeCell ref="H9:J9"/>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H82:J82"/>
    <mergeCell ref="B69:E69"/>
    <mergeCell ref="B59:B62"/>
    <mergeCell ref="B9:C9"/>
    <mergeCell ref="B15:B25"/>
    <mergeCell ref="B26:B35"/>
    <mergeCell ref="B36:B45"/>
    <mergeCell ref="B46:B54"/>
    <mergeCell ref="B11:J11"/>
    <mergeCell ref="H70:J70"/>
    <mergeCell ref="H72:J80"/>
    <mergeCell ref="B13:B14"/>
    <mergeCell ref="C13:C14"/>
  </mergeCells>
  <conditionalFormatting sqref="O15:R54">
    <cfRule type="cellIs" dxfId="22" priority="1" operator="lessThan">
      <formula>0.3</formula>
    </cfRule>
  </conditionalFormatting>
  <pageMargins left="0.7" right="0.7" top="0.75" bottom="0.75" header="0" footer="0"/>
  <pageSetup paperSize="9" scale="2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2DA70-F284-42BF-AA0E-47D4D4E156AB}">
  <sheetPr>
    <tabColor theme="9" tint="-0.499984740745262"/>
    <pageSetUpPr fitToPage="1"/>
  </sheetPr>
  <dimension ref="B2:N45"/>
  <sheetViews>
    <sheetView showGridLines="0" workbookViewId="0">
      <selection activeCell="P8" sqref="P8"/>
    </sheetView>
  </sheetViews>
  <sheetFormatPr defaultColWidth="12.5703125" defaultRowHeight="15.75" customHeight="1" x14ac:dyDescent="0.2"/>
  <cols>
    <col min="1" max="1" width="3.42578125" customWidth="1"/>
    <col min="2" max="2" width="19" customWidth="1"/>
    <col min="3" max="3" width="12.5703125" customWidth="1"/>
    <col min="4" max="4" width="17.28515625" customWidth="1"/>
    <col min="5" max="9" width="12.5703125" customWidth="1"/>
    <col min="10" max="10" width="12.710937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Índex!B58</f>
        <v xml:space="preserve">PS4.03_Ind02. </v>
      </c>
      <c r="E4" s="716"/>
      <c r="F4" s="567" t="s">
        <v>194</v>
      </c>
      <c r="G4" s="569"/>
      <c r="H4" s="718" t="str">
        <f>Índex!C58</f>
        <v>Percentatge d’hores de docència impartides per PDI amb títol de doctor (Graus)</v>
      </c>
      <c r="I4" s="715"/>
      <c r="J4" s="716"/>
    </row>
    <row r="5" spans="2:10" ht="22.5" customHeight="1" x14ac:dyDescent="0.2">
      <c r="B5" s="567" t="s">
        <v>195</v>
      </c>
      <c r="C5" s="569"/>
      <c r="D5" s="718" t="str">
        <f>Índex!F58</f>
        <v>≥ 70%</v>
      </c>
      <c r="E5" s="716"/>
      <c r="F5" s="567" t="s">
        <v>196</v>
      </c>
      <c r="G5" s="569"/>
      <c r="H5" s="718" t="s">
        <v>216</v>
      </c>
      <c r="I5" s="715"/>
      <c r="J5" s="716"/>
    </row>
    <row r="6" spans="2:10" ht="37.5" customHeight="1" x14ac:dyDescent="0.2">
      <c r="B6" s="567" t="s">
        <v>471</v>
      </c>
      <c r="C6" s="569"/>
      <c r="D6" s="718" t="str">
        <f>Índex!H58</f>
        <v>Objectiu de Qualitat. Organització i gestió de recursos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22.5" customHeight="1" x14ac:dyDescent="0.2">
      <c r="B8" s="567" t="s">
        <v>465</v>
      </c>
      <c r="C8" s="569"/>
      <c r="D8" s="718" t="str">
        <f>Índex!D58</f>
        <v>Degà</v>
      </c>
      <c r="E8" s="716"/>
      <c r="F8" s="567" t="s">
        <v>472</v>
      </c>
      <c r="G8" s="569"/>
      <c r="H8" s="718" t="str">
        <f>Índex!E58</f>
        <v>Gestora de Qualitat</v>
      </c>
      <c r="I8" s="715"/>
      <c r="J8" s="716"/>
    </row>
    <row r="9" spans="2:10" ht="37.5" customHeight="1" x14ac:dyDescent="0.2">
      <c r="B9" s="567" t="s">
        <v>461</v>
      </c>
      <c r="C9" s="569"/>
      <c r="D9" s="718" t="str">
        <f>Índex!G58</f>
        <v xml:space="preserve">PS4.03. Gestió de la Política de PDI  </v>
      </c>
      <c r="E9" s="716"/>
      <c r="F9" s="567" t="s">
        <v>467</v>
      </c>
      <c r="G9" s="569"/>
      <c r="H9" s="718" t="s">
        <v>487</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965"/>
      <c r="C14" s="966"/>
      <c r="D14" s="86" t="s">
        <v>200</v>
      </c>
      <c r="E14" s="86" t="s">
        <v>201</v>
      </c>
      <c r="F14" s="86" t="s">
        <v>202</v>
      </c>
      <c r="G14" s="86" t="s">
        <v>203</v>
      </c>
      <c r="H14" s="86" t="s">
        <v>204</v>
      </c>
      <c r="I14" s="86" t="s">
        <v>205</v>
      </c>
      <c r="J14" s="86" t="s">
        <v>256</v>
      </c>
    </row>
    <row r="15" spans="2:10" ht="41.25" customHeight="1" x14ac:dyDescent="0.2">
      <c r="B15" s="739" t="s">
        <v>218</v>
      </c>
      <c r="C15" s="739"/>
      <c r="D15" s="294">
        <v>0.86799999999999999</v>
      </c>
      <c r="E15" s="308">
        <v>0.79</v>
      </c>
      <c r="F15" s="308">
        <v>0.78</v>
      </c>
      <c r="G15" s="308">
        <v>0.76</v>
      </c>
      <c r="H15" s="308">
        <v>0.751</v>
      </c>
      <c r="I15" s="308">
        <v>0.74</v>
      </c>
      <c r="J15" s="308">
        <v>0.69099999999999995</v>
      </c>
    </row>
    <row r="16" spans="2:10" ht="41.25" customHeight="1" x14ac:dyDescent="0.2">
      <c r="B16" s="739" t="s">
        <v>272</v>
      </c>
      <c r="C16" s="739"/>
      <c r="D16" s="294">
        <v>0.86</v>
      </c>
      <c r="E16" s="308">
        <v>0.82</v>
      </c>
      <c r="F16" s="308">
        <v>0.79</v>
      </c>
      <c r="G16" s="308">
        <v>0.75</v>
      </c>
      <c r="H16" s="308">
        <v>0.75890000000000002</v>
      </c>
      <c r="I16" s="308">
        <v>0.80730000000000002</v>
      </c>
      <c r="J16" s="308">
        <v>0.79210000000000003</v>
      </c>
    </row>
    <row r="17" spans="2:10" ht="41.25" customHeight="1" x14ac:dyDescent="0.2">
      <c r="B17" s="739" t="s">
        <v>262</v>
      </c>
      <c r="C17" s="739"/>
      <c r="D17" s="294">
        <v>0.68</v>
      </c>
      <c r="E17" s="308">
        <v>0.71</v>
      </c>
      <c r="F17" s="308">
        <v>0.7</v>
      </c>
      <c r="G17" s="308">
        <v>0.7</v>
      </c>
      <c r="H17" s="308">
        <v>0.72189999999999999</v>
      </c>
      <c r="I17" s="309">
        <v>0.68</v>
      </c>
      <c r="J17" s="309">
        <v>0.69040000000000001</v>
      </c>
    </row>
    <row r="18" spans="2:10" ht="41.25" customHeight="1" x14ac:dyDescent="0.2">
      <c r="B18" s="739" t="s">
        <v>221</v>
      </c>
      <c r="C18" s="739"/>
      <c r="D18" s="294">
        <v>0.9</v>
      </c>
      <c r="E18" s="308">
        <v>0.90400000000000003</v>
      </c>
      <c r="F18" s="308">
        <v>0.90300000000000002</v>
      </c>
      <c r="G18" s="308">
        <v>0.87</v>
      </c>
      <c r="H18" s="308">
        <v>0.89190000000000003</v>
      </c>
      <c r="I18" s="308">
        <v>0.91</v>
      </c>
      <c r="J18" s="308">
        <v>0.87329999999999997</v>
      </c>
    </row>
    <row r="19" spans="2:10" ht="41.25" customHeight="1" x14ac:dyDescent="0.2">
      <c r="B19" s="739" t="s">
        <v>273</v>
      </c>
      <c r="C19" s="739"/>
      <c r="D19" s="294">
        <v>0.96</v>
      </c>
      <c r="E19" s="308">
        <v>0.94</v>
      </c>
      <c r="F19" s="308">
        <v>0.94</v>
      </c>
      <c r="G19" s="308">
        <v>0.93</v>
      </c>
      <c r="H19" s="308">
        <v>0.93269999999999997</v>
      </c>
      <c r="I19" s="308">
        <v>0.9214</v>
      </c>
      <c r="J19" s="308">
        <v>0.89559999999999995</v>
      </c>
    </row>
    <row r="20" spans="2:10" ht="41.25" customHeight="1" x14ac:dyDescent="0.2">
      <c r="B20" s="739" t="s">
        <v>274</v>
      </c>
      <c r="C20" s="739"/>
      <c r="D20" s="294">
        <v>0.85</v>
      </c>
      <c r="E20" s="308">
        <v>0.87</v>
      </c>
      <c r="F20" s="308">
        <v>0.9</v>
      </c>
      <c r="G20" s="308">
        <v>0.96</v>
      </c>
      <c r="H20" s="308">
        <v>0.80759999999999998</v>
      </c>
      <c r="I20" s="308">
        <v>0.83430000000000004</v>
      </c>
      <c r="J20" s="308">
        <v>0.80620000000000003</v>
      </c>
    </row>
    <row r="21" spans="2:10" ht="41.25" customHeight="1" x14ac:dyDescent="0.2">
      <c r="B21" s="739" t="s">
        <v>224</v>
      </c>
      <c r="C21" s="739"/>
      <c r="D21" s="294">
        <v>0.85</v>
      </c>
      <c r="E21" s="308">
        <v>0.86</v>
      </c>
      <c r="F21" s="308">
        <v>0.82</v>
      </c>
      <c r="G21" s="308">
        <v>0.81</v>
      </c>
      <c r="H21" s="308">
        <v>0.78359999999999996</v>
      </c>
      <c r="I21" s="308">
        <v>0.87</v>
      </c>
      <c r="J21" s="308">
        <v>0.87860000000000005</v>
      </c>
    </row>
    <row r="22" spans="2:10" ht="41.25" customHeight="1" x14ac:dyDescent="0.2">
      <c r="B22" s="739" t="s">
        <v>225</v>
      </c>
      <c r="C22" s="739"/>
      <c r="D22" s="294" t="s">
        <v>264</v>
      </c>
      <c r="E22" s="308">
        <v>1</v>
      </c>
      <c r="F22" s="308">
        <v>0.94</v>
      </c>
      <c r="G22" s="308">
        <v>0.88</v>
      </c>
      <c r="H22" s="308">
        <v>0.84130000000000005</v>
      </c>
      <c r="I22" s="308">
        <v>0.86</v>
      </c>
      <c r="J22" s="308">
        <v>0.86729999999999996</v>
      </c>
    </row>
    <row r="23" spans="2:10" ht="41.25" customHeight="1" x14ac:dyDescent="0.2">
      <c r="B23" s="739" t="s">
        <v>226</v>
      </c>
      <c r="C23" s="739"/>
      <c r="D23" s="294">
        <v>0.88</v>
      </c>
      <c r="E23" s="308">
        <v>0.94</v>
      </c>
      <c r="F23" s="308">
        <v>0.94</v>
      </c>
      <c r="G23" s="308">
        <v>0.95</v>
      </c>
      <c r="H23" s="308">
        <v>0.93440000000000001</v>
      </c>
      <c r="I23" s="308">
        <v>0.93</v>
      </c>
      <c r="J23" s="308">
        <v>0.89290000000000003</v>
      </c>
    </row>
    <row r="24" spans="2:10" ht="41.25" customHeight="1" x14ac:dyDescent="0.2">
      <c r="B24" s="739" t="s">
        <v>263</v>
      </c>
      <c r="C24" s="739"/>
      <c r="D24" s="294">
        <v>0.83</v>
      </c>
      <c r="E24" s="308">
        <v>0.81</v>
      </c>
      <c r="F24" s="308">
        <v>0.86</v>
      </c>
      <c r="G24" s="308">
        <v>0.84</v>
      </c>
      <c r="H24" s="308">
        <v>0.85</v>
      </c>
      <c r="I24" s="308">
        <v>0.83</v>
      </c>
      <c r="J24" s="308">
        <v>0.81889999999999996</v>
      </c>
    </row>
    <row r="25" spans="2:10" ht="41.25" customHeight="1" x14ac:dyDescent="0.2">
      <c r="B25" s="739" t="s">
        <v>228</v>
      </c>
      <c r="C25" s="739"/>
      <c r="D25" s="294">
        <v>0.83</v>
      </c>
      <c r="E25" s="308">
        <v>0.83</v>
      </c>
      <c r="F25" s="308">
        <v>0.86</v>
      </c>
      <c r="G25" s="308">
        <v>0.81</v>
      </c>
      <c r="H25" s="308">
        <v>0.78129999999999999</v>
      </c>
      <c r="I25" s="308">
        <v>0.79</v>
      </c>
      <c r="J25" s="308">
        <v>0.77739999999999998</v>
      </c>
    </row>
    <row r="26" spans="2:10" ht="41.25" customHeight="1" x14ac:dyDescent="0.2">
      <c r="B26" s="733" t="str">
        <f>D5</f>
        <v>≥ 70%</v>
      </c>
      <c r="C26" s="790"/>
      <c r="D26" s="64">
        <f t="shared" ref="D26:J26" si="0">COUNTIF(D15:D25,"&gt;="&amp;D28)</f>
        <v>9</v>
      </c>
      <c r="E26" s="64">
        <f t="shared" si="0"/>
        <v>11</v>
      </c>
      <c r="F26" s="64">
        <f t="shared" si="0"/>
        <v>11</v>
      </c>
      <c r="G26" s="64">
        <f t="shared" si="0"/>
        <v>11</v>
      </c>
      <c r="H26" s="64">
        <f t="shared" si="0"/>
        <v>11</v>
      </c>
      <c r="I26" s="64">
        <f t="shared" si="0"/>
        <v>10</v>
      </c>
      <c r="J26" s="64">
        <f t="shared" si="0"/>
        <v>9</v>
      </c>
    </row>
    <row r="27" spans="2:10" ht="41.25" customHeight="1" x14ac:dyDescent="0.2">
      <c r="B27" s="734" t="s">
        <v>248</v>
      </c>
      <c r="C27" s="734"/>
      <c r="D27" s="64">
        <f t="shared" ref="D27:J27" si="1">COUNT(D15:D25)</f>
        <v>10</v>
      </c>
      <c r="E27" s="64">
        <f t="shared" si="1"/>
        <v>11</v>
      </c>
      <c r="F27" s="64">
        <f t="shared" si="1"/>
        <v>11</v>
      </c>
      <c r="G27" s="64">
        <f t="shared" si="1"/>
        <v>11</v>
      </c>
      <c r="H27" s="64">
        <f t="shared" si="1"/>
        <v>11</v>
      </c>
      <c r="I27" s="64">
        <f t="shared" si="1"/>
        <v>11</v>
      </c>
      <c r="J27" s="64">
        <f t="shared" si="1"/>
        <v>11</v>
      </c>
    </row>
    <row r="28" spans="2:10" ht="41.25" customHeight="1" x14ac:dyDescent="0.2">
      <c r="B28" s="730" t="s">
        <v>207</v>
      </c>
      <c r="C28" s="787"/>
      <c r="D28" s="305">
        <v>0.7</v>
      </c>
      <c r="E28" s="305">
        <v>0.7</v>
      </c>
      <c r="F28" s="305">
        <v>0.7</v>
      </c>
      <c r="G28" s="305">
        <v>0.7</v>
      </c>
      <c r="H28" s="305">
        <v>0.7</v>
      </c>
      <c r="I28" s="305">
        <v>0.7</v>
      </c>
      <c r="J28" s="305">
        <v>0.7</v>
      </c>
    </row>
    <row r="29" spans="2:10" ht="41.25" customHeight="1" x14ac:dyDescent="0.2">
      <c r="B29" s="730" t="s">
        <v>208</v>
      </c>
      <c r="C29" s="787"/>
      <c r="D29" s="47">
        <f t="shared" ref="D29:I29" si="2">D26/D27</f>
        <v>0.9</v>
      </c>
      <c r="E29" s="47">
        <f t="shared" si="2"/>
        <v>1</v>
      </c>
      <c r="F29" s="47">
        <f t="shared" si="2"/>
        <v>1</v>
      </c>
      <c r="G29" s="47">
        <f t="shared" si="2"/>
        <v>1</v>
      </c>
      <c r="H29" s="47">
        <f t="shared" si="2"/>
        <v>1</v>
      </c>
      <c r="I29" s="47">
        <f t="shared" si="2"/>
        <v>0.90909090909090906</v>
      </c>
      <c r="J29" s="47">
        <f>J26/J27</f>
        <v>0.81818181818181823</v>
      </c>
    </row>
    <row r="30" spans="2:10" ht="41.25" customHeight="1" x14ac:dyDescent="0.25">
      <c r="B30" s="7"/>
      <c r="C30" s="7"/>
      <c r="D30" s="6"/>
      <c r="E30" s="6"/>
      <c r="F30" s="6"/>
      <c r="G30" s="6"/>
      <c r="H30" s="6"/>
      <c r="I30" s="6"/>
    </row>
    <row r="31" spans="2:10" ht="22.5" customHeight="1" x14ac:dyDescent="0.25">
      <c r="B31" s="7"/>
      <c r="C31" s="7"/>
      <c r="D31" s="6"/>
      <c r="E31" s="6"/>
      <c r="F31" s="6"/>
      <c r="G31" s="6"/>
      <c r="H31" s="6"/>
      <c r="I31" s="6"/>
    </row>
    <row r="32" spans="2:10" ht="22.5" customHeight="1" x14ac:dyDescent="0.25">
      <c r="B32" s="7"/>
      <c r="C32" s="7"/>
      <c r="D32" s="6"/>
      <c r="E32" s="6"/>
      <c r="F32" s="6"/>
      <c r="G32" s="6"/>
      <c r="H32" s="6"/>
      <c r="I32" s="6"/>
      <c r="J32" s="6"/>
    </row>
    <row r="33" spans="2:14" ht="22.5" customHeight="1" x14ac:dyDescent="0.2">
      <c r="B33" s="567" t="s">
        <v>469</v>
      </c>
      <c r="C33" s="568"/>
      <c r="D33" s="568"/>
      <c r="E33" s="569"/>
      <c r="F33" s="8"/>
      <c r="K33" s="567" t="s">
        <v>470</v>
      </c>
      <c r="L33" s="568"/>
      <c r="M33" s="568"/>
      <c r="N33" s="569"/>
    </row>
    <row r="34" spans="2:14" ht="22.5" customHeight="1" x14ac:dyDescent="0.2">
      <c r="B34" s="8"/>
      <c r="C34" s="8"/>
      <c r="D34" s="8"/>
      <c r="E34" s="8"/>
      <c r="F34" s="8"/>
      <c r="K34" s="9"/>
      <c r="L34" s="9"/>
      <c r="M34" s="9"/>
      <c r="N34" s="9"/>
    </row>
    <row r="35" spans="2:14" ht="6" customHeight="1" x14ac:dyDescent="0.2">
      <c r="B35" s="8"/>
      <c r="C35" s="8"/>
      <c r="D35" s="8"/>
      <c r="E35" s="8"/>
      <c r="F35" s="8"/>
      <c r="K35" s="1031" t="s">
        <v>155</v>
      </c>
      <c r="L35" s="571"/>
      <c r="M35" s="571"/>
      <c r="N35" s="572"/>
    </row>
    <row r="36" spans="2:14" ht="19.5" customHeight="1" x14ac:dyDescent="0.2">
      <c r="B36" s="8"/>
      <c r="C36" s="8"/>
      <c r="D36" s="8"/>
      <c r="E36" s="8"/>
      <c r="F36" s="8"/>
      <c r="K36" s="573"/>
      <c r="L36" s="574"/>
      <c r="M36" s="574"/>
      <c r="N36" s="575"/>
    </row>
    <row r="37" spans="2:14" ht="19.5" customHeight="1" x14ac:dyDescent="0.2">
      <c r="B37" s="8"/>
      <c r="C37" s="8"/>
      <c r="D37" s="8"/>
      <c r="E37" s="8"/>
      <c r="F37" s="8"/>
      <c r="K37" s="573"/>
      <c r="L37" s="574"/>
      <c r="M37" s="574"/>
      <c r="N37" s="575"/>
    </row>
    <row r="38" spans="2:14" ht="19.5" customHeight="1" x14ac:dyDescent="0.2">
      <c r="B38" s="8"/>
      <c r="C38" s="8"/>
      <c r="D38" s="8"/>
      <c r="E38" s="8"/>
      <c r="F38" s="8"/>
      <c r="K38" s="573"/>
      <c r="L38" s="574"/>
      <c r="M38" s="574"/>
      <c r="N38" s="575"/>
    </row>
    <row r="39" spans="2:14" ht="19.5" customHeight="1" x14ac:dyDescent="0.2">
      <c r="B39" s="8"/>
      <c r="C39" s="8"/>
      <c r="D39" s="8"/>
      <c r="E39" s="8"/>
      <c r="F39" s="8"/>
      <c r="K39" s="573"/>
      <c r="L39" s="574"/>
      <c r="M39" s="574"/>
      <c r="N39" s="575"/>
    </row>
    <row r="40" spans="2:14" ht="19.5" customHeight="1" x14ac:dyDescent="0.2">
      <c r="B40" s="8"/>
      <c r="C40" s="8"/>
      <c r="D40" s="8"/>
      <c r="E40" s="8"/>
      <c r="F40" s="8"/>
      <c r="K40" s="573"/>
      <c r="L40" s="574"/>
      <c r="M40" s="574"/>
      <c r="N40" s="575"/>
    </row>
    <row r="41" spans="2:14" ht="19.5" customHeight="1" x14ac:dyDescent="0.2">
      <c r="B41" s="8"/>
      <c r="C41" s="8"/>
      <c r="D41" s="8"/>
      <c r="E41" s="8"/>
      <c r="F41" s="8"/>
      <c r="K41" s="573"/>
      <c r="L41" s="574"/>
      <c r="M41" s="574"/>
      <c r="N41" s="575"/>
    </row>
    <row r="42" spans="2:14" ht="19.5" customHeight="1" x14ac:dyDescent="0.2">
      <c r="B42" s="8"/>
      <c r="C42" s="8"/>
      <c r="D42" s="8"/>
      <c r="E42" s="8"/>
      <c r="F42" s="8"/>
      <c r="K42" s="573"/>
      <c r="L42" s="574"/>
      <c r="M42" s="574"/>
      <c r="N42" s="575"/>
    </row>
    <row r="43" spans="2:14" ht="19.5" customHeight="1" x14ac:dyDescent="0.2">
      <c r="B43" s="8"/>
      <c r="C43" s="8"/>
      <c r="D43" s="8"/>
      <c r="E43" s="8"/>
      <c r="F43" s="8"/>
      <c r="K43" s="576"/>
      <c r="L43" s="577"/>
      <c r="M43" s="577"/>
      <c r="N43" s="578"/>
    </row>
    <row r="45" spans="2:14" ht="19.5" customHeight="1" x14ac:dyDescent="0.2">
      <c r="H45" s="559" t="s">
        <v>155</v>
      </c>
      <c r="I45" s="560"/>
      <c r="J45" s="560"/>
    </row>
  </sheetData>
  <sheetProtection formatCells="0" formatColumns="0" formatRows="0" insertColumns="0" insertRows="0" insertHyperlinks="0" deleteColumns="0" deleteRows="0" pivotTables="0"/>
  <mergeCells count="47">
    <mergeCell ref="H5:J5"/>
    <mergeCell ref="B7:C7"/>
    <mergeCell ref="H6:J6"/>
    <mergeCell ref="B6:C6"/>
    <mergeCell ref="D6:E6"/>
    <mergeCell ref="F6:G6"/>
    <mergeCell ref="H7:J7"/>
    <mergeCell ref="D7:E7"/>
    <mergeCell ref="F7:G7"/>
    <mergeCell ref="B5:C5"/>
    <mergeCell ref="D5:E5"/>
    <mergeCell ref="F5:G5"/>
    <mergeCell ref="B2:D2"/>
    <mergeCell ref="E2:J2"/>
    <mergeCell ref="B4:C4"/>
    <mergeCell ref="D4:E4"/>
    <mergeCell ref="F4:G4"/>
    <mergeCell ref="H4:J4"/>
    <mergeCell ref="D9:E9"/>
    <mergeCell ref="F9:G9"/>
    <mergeCell ref="H9:J9"/>
    <mergeCell ref="H8:J8"/>
    <mergeCell ref="B9:C9"/>
    <mergeCell ref="B8:C8"/>
    <mergeCell ref="D8:E8"/>
    <mergeCell ref="F8:G8"/>
    <mergeCell ref="B17:C17"/>
    <mergeCell ref="B21:C21"/>
    <mergeCell ref="B19:C19"/>
    <mergeCell ref="B22:C22"/>
    <mergeCell ref="B20:C20"/>
    <mergeCell ref="B14:C14"/>
    <mergeCell ref="B11:J11"/>
    <mergeCell ref="K33:N33"/>
    <mergeCell ref="K35:N43"/>
    <mergeCell ref="H45:J45"/>
    <mergeCell ref="B23:C23"/>
    <mergeCell ref="B26:C26"/>
    <mergeCell ref="B33:E33"/>
    <mergeCell ref="B27:C27"/>
    <mergeCell ref="B28:C28"/>
    <mergeCell ref="B29:C29"/>
    <mergeCell ref="B25:C25"/>
    <mergeCell ref="B15:C15"/>
    <mergeCell ref="B16:C16"/>
    <mergeCell ref="B18:C18"/>
    <mergeCell ref="B24:C24"/>
  </mergeCells>
  <conditionalFormatting sqref="D15:J25">
    <cfRule type="cellIs" dxfId="21" priority="1" operator="between">
      <formula>0</formula>
      <formula>0.63</formula>
    </cfRule>
  </conditionalFormatting>
  <pageMargins left="0.7" right="0.7" top="0.75" bottom="0.75" header="0" footer="0"/>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9F89C-B7FE-4C13-BFCA-8284D8C92750}">
  <sheetPr>
    <tabColor theme="9" tint="-0.499984740745262"/>
    <pageSetUpPr fitToPage="1"/>
  </sheetPr>
  <dimension ref="B2:N44"/>
  <sheetViews>
    <sheetView showGridLines="0" workbookViewId="0">
      <selection activeCell="P8" sqref="P8"/>
    </sheetView>
  </sheetViews>
  <sheetFormatPr defaultColWidth="12.5703125" defaultRowHeight="15.75" customHeight="1" x14ac:dyDescent="0.2"/>
  <cols>
    <col min="1" max="1" width="3.42578125" customWidth="1"/>
    <col min="2" max="2" width="14.140625" customWidth="1"/>
    <col min="3" max="4" width="17.28515625" customWidth="1"/>
    <col min="5"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Índex!B59</f>
        <v xml:space="preserve">PS4.03_Ind03. </v>
      </c>
      <c r="E4" s="716"/>
      <c r="F4" s="567" t="s">
        <v>194</v>
      </c>
      <c r="G4" s="569"/>
      <c r="H4" s="718" t="str">
        <f>Índex!C59</f>
        <v>Percentatge d’hores de docència impartides per PDI permanent(Graus)</v>
      </c>
      <c r="I4" s="715"/>
      <c r="J4" s="716"/>
    </row>
    <row r="5" spans="2:10" ht="22.5" customHeight="1" x14ac:dyDescent="0.2">
      <c r="B5" s="567" t="s">
        <v>195</v>
      </c>
      <c r="C5" s="569"/>
      <c r="D5" s="718" t="str">
        <f>Índex!F59</f>
        <v xml:space="preserve">≥ 55% </v>
      </c>
      <c r="E5" s="716"/>
      <c r="F5" s="567" t="s">
        <v>196</v>
      </c>
      <c r="G5" s="569"/>
      <c r="H5" s="718" t="s">
        <v>216</v>
      </c>
      <c r="I5" s="715"/>
      <c r="J5" s="716"/>
    </row>
    <row r="6" spans="2:10" ht="33.75" customHeight="1" x14ac:dyDescent="0.2">
      <c r="B6" s="567" t="s">
        <v>471</v>
      </c>
      <c r="C6" s="569"/>
      <c r="D6" s="718" t="str">
        <f>Índex!H59</f>
        <v>Objectiu de Qualitat. Organització i gestió de recursos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22.5" customHeight="1" x14ac:dyDescent="0.2">
      <c r="B8" s="567" t="s">
        <v>465</v>
      </c>
      <c r="C8" s="569"/>
      <c r="D8" s="718" t="str">
        <f>Índex!D59</f>
        <v>Degà</v>
      </c>
      <c r="E8" s="716"/>
      <c r="F8" s="567" t="s">
        <v>472</v>
      </c>
      <c r="G8" s="569"/>
      <c r="H8" s="718" t="str">
        <f>Índex!E59</f>
        <v>Gestora de Qualitat</v>
      </c>
      <c r="I8" s="715"/>
      <c r="J8" s="716"/>
    </row>
    <row r="9" spans="2:10" ht="22.5" customHeight="1" x14ac:dyDescent="0.2">
      <c r="B9" s="567" t="s">
        <v>461</v>
      </c>
      <c r="C9" s="569"/>
      <c r="D9" s="718" t="str">
        <f>Índex!G59</f>
        <v xml:space="preserve">PS4.03. Gestió de la Política de PDI  </v>
      </c>
      <c r="E9" s="716"/>
      <c r="F9" s="567" t="s">
        <v>467</v>
      </c>
      <c r="G9" s="569"/>
      <c r="H9" s="718" t="s">
        <v>574</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965"/>
      <c r="C14" s="966"/>
      <c r="D14" s="78" t="s">
        <v>201</v>
      </c>
      <c r="E14" s="78" t="s">
        <v>202</v>
      </c>
      <c r="F14" s="78" t="s">
        <v>203</v>
      </c>
      <c r="G14" s="78" t="s">
        <v>204</v>
      </c>
      <c r="H14" s="78" t="s">
        <v>205</v>
      </c>
      <c r="I14" s="78" t="s">
        <v>256</v>
      </c>
    </row>
    <row r="15" spans="2:10" ht="41.25" customHeight="1" x14ac:dyDescent="0.2">
      <c r="B15" s="739" t="s">
        <v>218</v>
      </c>
      <c r="C15" s="813"/>
      <c r="D15" s="380">
        <v>0.49199999999999999</v>
      </c>
      <c r="E15" s="380">
        <v>0.46400000000000002</v>
      </c>
      <c r="F15" s="380">
        <v>0.41799999999999998</v>
      </c>
      <c r="G15" s="380">
        <v>0.44019999999999998</v>
      </c>
      <c r="H15" s="380">
        <v>0.48</v>
      </c>
      <c r="I15" s="380">
        <v>0.40329999999999999</v>
      </c>
      <c r="J15" s="97"/>
    </row>
    <row r="16" spans="2:10" ht="41.25" customHeight="1" x14ac:dyDescent="0.2">
      <c r="B16" s="739" t="s">
        <v>235</v>
      </c>
      <c r="C16" s="813"/>
      <c r="D16" s="381">
        <v>0.50800000000000001</v>
      </c>
      <c r="E16" s="381">
        <v>0.46200000000000002</v>
      </c>
      <c r="F16" s="381">
        <v>0.48799999999999999</v>
      </c>
      <c r="G16" s="381">
        <v>0.4491</v>
      </c>
      <c r="H16" s="381" t="s">
        <v>234</v>
      </c>
      <c r="I16" s="381">
        <v>0.43</v>
      </c>
      <c r="J16" s="97"/>
    </row>
    <row r="17" spans="2:14" ht="41.25" customHeight="1" x14ac:dyDescent="0.2">
      <c r="B17" s="739" t="s">
        <v>262</v>
      </c>
      <c r="C17" s="813"/>
      <c r="D17" s="381">
        <v>0.52</v>
      </c>
      <c r="E17" s="381">
        <v>0.45700000000000002</v>
      </c>
      <c r="F17" s="381">
        <v>0.38700000000000001</v>
      </c>
      <c r="G17" s="381">
        <v>0.43730000000000002</v>
      </c>
      <c r="H17" s="381">
        <v>0.43</v>
      </c>
      <c r="I17" s="381">
        <v>0.375</v>
      </c>
      <c r="J17" s="97"/>
    </row>
    <row r="18" spans="2:14" ht="41.25" customHeight="1" x14ac:dyDescent="0.2">
      <c r="B18" s="739" t="s">
        <v>221</v>
      </c>
      <c r="C18" s="813"/>
      <c r="D18" s="381">
        <v>0.68600000000000005</v>
      </c>
      <c r="E18" s="381">
        <v>0.67900000000000005</v>
      </c>
      <c r="F18" s="381">
        <v>0.68400000000000005</v>
      </c>
      <c r="G18" s="381">
        <v>0.69730000000000003</v>
      </c>
      <c r="H18" s="381">
        <v>0.64</v>
      </c>
      <c r="I18" s="381">
        <v>0.59</v>
      </c>
      <c r="J18" s="97"/>
    </row>
    <row r="19" spans="2:14" ht="41.25" customHeight="1" x14ac:dyDescent="0.2">
      <c r="B19" s="739" t="s">
        <v>294</v>
      </c>
      <c r="C19" s="813"/>
      <c r="D19" s="381">
        <v>0.76700000000000002</v>
      </c>
      <c r="E19" s="381">
        <v>0.78200000000000003</v>
      </c>
      <c r="F19" s="381">
        <v>0.72399999999999998</v>
      </c>
      <c r="G19" s="381">
        <v>0.74019999999999997</v>
      </c>
      <c r="H19" s="381" t="s">
        <v>213</v>
      </c>
      <c r="I19" s="381">
        <v>0.66</v>
      </c>
      <c r="J19" s="97"/>
      <c r="K19" s="20"/>
      <c r="L19" s="25"/>
      <c r="M19" s="25"/>
    </row>
    <row r="20" spans="2:14" ht="41.25" customHeight="1" x14ac:dyDescent="0.2">
      <c r="B20" s="739" t="s">
        <v>295</v>
      </c>
      <c r="C20" s="813"/>
      <c r="D20" s="381">
        <v>0.71499999999999997</v>
      </c>
      <c r="E20" s="381">
        <v>0.70899999999999996</v>
      </c>
      <c r="F20" s="381">
        <v>0.64500000000000002</v>
      </c>
      <c r="G20" s="381">
        <v>0.57050000000000001</v>
      </c>
      <c r="H20" s="381" t="s">
        <v>213</v>
      </c>
      <c r="I20" s="381">
        <v>0.59</v>
      </c>
      <c r="J20" s="97"/>
      <c r="K20" s="20"/>
      <c r="L20" s="25"/>
      <c r="M20" s="25"/>
    </row>
    <row r="21" spans="2:14" ht="41.25" customHeight="1" x14ac:dyDescent="0.2">
      <c r="B21" s="739" t="s">
        <v>224</v>
      </c>
      <c r="C21" s="739"/>
      <c r="D21" s="381">
        <v>0.54600000000000004</v>
      </c>
      <c r="E21" s="381">
        <v>0.501</v>
      </c>
      <c r="F21" s="381">
        <v>0.53300000000000003</v>
      </c>
      <c r="G21" s="381">
        <v>0.48099999999999998</v>
      </c>
      <c r="H21" s="381">
        <v>0.67</v>
      </c>
      <c r="I21" s="381">
        <v>0.54</v>
      </c>
      <c r="J21" s="97"/>
      <c r="K21" s="20"/>
      <c r="L21" s="25"/>
      <c r="M21" s="25"/>
    </row>
    <row r="22" spans="2:14" ht="41.25" customHeight="1" x14ac:dyDescent="0.25">
      <c r="B22" s="1032" t="s">
        <v>225</v>
      </c>
      <c r="C22" s="1032"/>
      <c r="D22" s="381">
        <v>0.71099999999999997</v>
      </c>
      <c r="E22" s="381">
        <v>0.80100000000000005</v>
      </c>
      <c r="F22" s="381">
        <v>0.63400000000000001</v>
      </c>
      <c r="G22" s="381">
        <v>0.6724</v>
      </c>
      <c r="H22" s="381">
        <v>0.46</v>
      </c>
      <c r="I22" s="381">
        <v>0.61</v>
      </c>
      <c r="J22" s="97"/>
      <c r="K22" s="20"/>
      <c r="L22" s="25"/>
      <c r="M22" s="25"/>
    </row>
    <row r="23" spans="2:14" ht="41.25" customHeight="1" x14ac:dyDescent="0.2">
      <c r="B23" s="739" t="s">
        <v>226</v>
      </c>
      <c r="C23" s="739"/>
      <c r="D23" s="381">
        <v>0.81799999999999995</v>
      </c>
      <c r="E23" s="381">
        <v>0.82799999999999996</v>
      </c>
      <c r="F23" s="381">
        <v>0.752</v>
      </c>
      <c r="G23" s="381">
        <v>0.7702</v>
      </c>
      <c r="H23" s="381">
        <v>0.78</v>
      </c>
      <c r="I23" s="381">
        <v>0.7</v>
      </c>
      <c r="J23" s="26"/>
    </row>
    <row r="24" spans="2:14" ht="41.25" customHeight="1" x14ac:dyDescent="0.2">
      <c r="B24" s="739" t="s">
        <v>227</v>
      </c>
      <c r="C24" s="739"/>
      <c r="D24" s="381">
        <v>0.55300000000000005</v>
      </c>
      <c r="E24" s="381">
        <v>0.53</v>
      </c>
      <c r="F24" s="381">
        <v>0.51800000000000002</v>
      </c>
      <c r="G24" s="381">
        <v>0.57789999999999997</v>
      </c>
      <c r="H24" s="381">
        <v>0.67</v>
      </c>
      <c r="I24" s="381">
        <v>0.54</v>
      </c>
      <c r="J24" s="27"/>
      <c r="K24" s="50"/>
      <c r="L24" s="50"/>
      <c r="M24" s="50"/>
      <c r="N24" s="50"/>
    </row>
    <row r="25" spans="2:14" ht="41.25" customHeight="1" x14ac:dyDescent="0.2">
      <c r="B25" s="739" t="s">
        <v>228</v>
      </c>
      <c r="C25" s="739"/>
      <c r="D25" s="381">
        <v>0.70399999999999996</v>
      </c>
      <c r="E25" s="381">
        <v>0.74299999999999999</v>
      </c>
      <c r="F25" s="381">
        <v>0.59399999999999997</v>
      </c>
      <c r="G25" s="381">
        <v>0.51829999999999998</v>
      </c>
      <c r="H25" s="381">
        <v>0.57999999999999996</v>
      </c>
      <c r="I25" s="381">
        <v>0.59</v>
      </c>
      <c r="J25" s="27"/>
      <c r="K25" s="50"/>
      <c r="L25" s="50"/>
      <c r="M25" s="50"/>
      <c r="N25" s="50"/>
    </row>
    <row r="26" spans="2:14" ht="22.5" customHeight="1" x14ac:dyDescent="0.2">
      <c r="B26" s="732" t="str">
        <f>D5</f>
        <v xml:space="preserve">≥ 55% </v>
      </c>
      <c r="C26" s="732"/>
      <c r="D26" s="31">
        <f t="shared" ref="D26:I26" si="0">COUNTIF(D15:D25,"&gt;="&amp;D28)</f>
        <v>7</v>
      </c>
      <c r="E26" s="31">
        <f t="shared" si="0"/>
        <v>6</v>
      </c>
      <c r="F26" s="31">
        <f t="shared" si="0"/>
        <v>6</v>
      </c>
      <c r="G26" s="31">
        <f t="shared" si="0"/>
        <v>6</v>
      </c>
      <c r="H26" s="31">
        <f t="shared" si="0"/>
        <v>5</v>
      </c>
      <c r="I26" s="31">
        <f t="shared" si="0"/>
        <v>6</v>
      </c>
    </row>
    <row r="27" spans="2:14" ht="22.5" customHeight="1" x14ac:dyDescent="0.2">
      <c r="B27" s="734" t="s">
        <v>248</v>
      </c>
      <c r="C27" s="734"/>
      <c r="D27" s="31">
        <f t="shared" ref="D27:I27" si="1">COUNT(D15:D25)</f>
        <v>11</v>
      </c>
      <c r="E27" s="31">
        <f t="shared" si="1"/>
        <v>11</v>
      </c>
      <c r="F27" s="31">
        <f t="shared" si="1"/>
        <v>11</v>
      </c>
      <c r="G27" s="31">
        <f t="shared" si="1"/>
        <v>11</v>
      </c>
      <c r="H27" s="31">
        <f t="shared" si="1"/>
        <v>8</v>
      </c>
      <c r="I27" s="31">
        <f t="shared" si="1"/>
        <v>11</v>
      </c>
    </row>
    <row r="28" spans="2:14" ht="22.5" customHeight="1" x14ac:dyDescent="0.2">
      <c r="B28" s="910" t="s">
        <v>207</v>
      </c>
      <c r="C28" s="911"/>
      <c r="D28" s="66">
        <v>0.55000000000000004</v>
      </c>
      <c r="E28" s="66">
        <v>0.55000000000000004</v>
      </c>
      <c r="F28" s="66">
        <v>0.55000000000000004</v>
      </c>
      <c r="G28" s="66">
        <v>0.55000000000000004</v>
      </c>
      <c r="H28" s="66">
        <v>0.55000000000000004</v>
      </c>
      <c r="I28" s="66">
        <v>0.55000000000000004</v>
      </c>
    </row>
    <row r="29" spans="2:14" ht="22.5" customHeight="1" x14ac:dyDescent="0.2">
      <c r="B29" s="730" t="s">
        <v>208</v>
      </c>
      <c r="C29" s="787"/>
      <c r="D29" s="43">
        <f t="shared" ref="D29:I29" si="2">D26/D27</f>
        <v>0.63636363636363635</v>
      </c>
      <c r="E29" s="43">
        <f t="shared" si="2"/>
        <v>0.54545454545454541</v>
      </c>
      <c r="F29" s="43">
        <f t="shared" si="2"/>
        <v>0.54545454545454541</v>
      </c>
      <c r="G29" s="43">
        <f t="shared" si="2"/>
        <v>0.54545454545454541</v>
      </c>
      <c r="H29" s="43">
        <f t="shared" si="2"/>
        <v>0.625</v>
      </c>
      <c r="I29" s="43">
        <f t="shared" si="2"/>
        <v>0.54545454545454541</v>
      </c>
    </row>
    <row r="30" spans="2:14" ht="22.5" customHeight="1" x14ac:dyDescent="0.25">
      <c r="B30" s="7"/>
      <c r="C30" s="7"/>
      <c r="D30" s="6"/>
      <c r="E30" s="6"/>
      <c r="F30" s="6"/>
      <c r="G30" s="6"/>
      <c r="H30" s="6"/>
      <c r="I30" s="6"/>
      <c r="J30" s="6"/>
    </row>
    <row r="32" spans="2:14" ht="22.5" customHeight="1" x14ac:dyDescent="0.2">
      <c r="B32" s="567" t="s">
        <v>469</v>
      </c>
      <c r="C32" s="568"/>
      <c r="D32" s="568"/>
      <c r="E32" s="569"/>
      <c r="F32" s="8"/>
      <c r="K32" s="788" t="s">
        <v>470</v>
      </c>
      <c r="L32" s="789"/>
      <c r="M32" s="789"/>
      <c r="N32" s="789"/>
    </row>
    <row r="33" spans="2:14" ht="22.5" customHeight="1" x14ac:dyDescent="0.2">
      <c r="B33" s="8"/>
      <c r="C33" s="8"/>
      <c r="D33" s="8"/>
      <c r="E33" s="8"/>
      <c r="F33" s="8"/>
      <c r="K33" s="667" t="s">
        <v>409</v>
      </c>
      <c r="L33" s="667"/>
      <c r="M33" s="667"/>
      <c r="N33" s="667"/>
    </row>
    <row r="34" spans="2:14" ht="6" customHeight="1" x14ac:dyDescent="0.2">
      <c r="B34" s="8"/>
      <c r="C34" s="8"/>
      <c r="D34" s="8"/>
      <c r="E34" s="8"/>
      <c r="F34" s="8"/>
      <c r="K34" s="667"/>
      <c r="L34" s="667"/>
      <c r="M34" s="667"/>
      <c r="N34" s="667"/>
    </row>
    <row r="35" spans="2:14" ht="19.5" customHeight="1" x14ac:dyDescent="0.2">
      <c r="B35" s="8"/>
      <c r="C35" s="8"/>
      <c r="D35" s="8"/>
      <c r="E35" s="8"/>
      <c r="F35" s="8"/>
      <c r="K35" s="667"/>
      <c r="L35" s="667"/>
      <c r="M35" s="667"/>
      <c r="N35" s="667"/>
    </row>
    <row r="36" spans="2:14" ht="19.5" customHeight="1" x14ac:dyDescent="0.2">
      <c r="K36" s="667"/>
      <c r="L36" s="667"/>
      <c r="M36" s="667"/>
      <c r="N36" s="667"/>
    </row>
    <row r="37" spans="2:14" ht="19.5" customHeight="1" x14ac:dyDescent="0.2">
      <c r="K37" s="667"/>
      <c r="L37" s="667"/>
      <c r="M37" s="667"/>
      <c r="N37" s="667"/>
    </row>
    <row r="38" spans="2:14" ht="19.5" customHeight="1" x14ac:dyDescent="0.2">
      <c r="K38" s="667"/>
      <c r="L38" s="667"/>
      <c r="M38" s="667"/>
      <c r="N38" s="667"/>
    </row>
    <row r="39" spans="2:14" ht="19.5" customHeight="1" x14ac:dyDescent="0.2">
      <c r="K39" s="667"/>
      <c r="L39" s="667"/>
      <c r="M39" s="667"/>
      <c r="N39" s="667"/>
    </row>
    <row r="40" spans="2:14" ht="19.5" customHeight="1" x14ac:dyDescent="0.2">
      <c r="K40" s="667"/>
      <c r="L40" s="667"/>
      <c r="M40" s="667"/>
      <c r="N40" s="667"/>
    </row>
    <row r="41" spans="2:14" ht="19.5" customHeight="1" x14ac:dyDescent="0.2">
      <c r="K41" s="667"/>
      <c r="L41" s="667"/>
      <c r="M41" s="667"/>
      <c r="N41" s="667"/>
    </row>
    <row r="42" spans="2:14" ht="19.5" customHeight="1" x14ac:dyDescent="0.2">
      <c r="K42" s="667"/>
      <c r="L42" s="667"/>
      <c r="M42" s="667"/>
      <c r="N42" s="667"/>
    </row>
    <row r="43" spans="2:14" ht="19.5" customHeight="1" x14ac:dyDescent="0.2"/>
    <row r="44" spans="2:14" ht="19.5" customHeight="1" x14ac:dyDescent="0.2">
      <c r="H44" s="559" t="s">
        <v>155</v>
      </c>
      <c r="I44" s="560"/>
      <c r="J44" s="560"/>
    </row>
  </sheetData>
  <sheetProtection formatCells="0" formatColumns="0" formatRows="0" insertColumns="0" insertRows="0" insertHyperlinks="0" deleteColumns="0" deleteRows="0" pivotTables="0"/>
  <mergeCells count="47">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B19:C19"/>
    <mergeCell ref="B9:C9"/>
    <mergeCell ref="B11:J11"/>
    <mergeCell ref="B15:C15"/>
    <mergeCell ref="B16:C16"/>
    <mergeCell ref="B17:C17"/>
    <mergeCell ref="B18:C18"/>
    <mergeCell ref="B14:C14"/>
    <mergeCell ref="B20:C20"/>
    <mergeCell ref="B21:C21"/>
    <mergeCell ref="B23:C23"/>
    <mergeCell ref="B24:C24"/>
    <mergeCell ref="B26:C26"/>
    <mergeCell ref="B22:C22"/>
    <mergeCell ref="B25:C25"/>
    <mergeCell ref="H44:J44"/>
    <mergeCell ref="B27:C27"/>
    <mergeCell ref="B29:C29"/>
    <mergeCell ref="B32:E32"/>
    <mergeCell ref="K32:N32"/>
    <mergeCell ref="K33:N42"/>
    <mergeCell ref="B28:C28"/>
    <mergeCell ref="B8:C8"/>
    <mergeCell ref="D8:E8"/>
    <mergeCell ref="F8:G8"/>
    <mergeCell ref="H8:J8"/>
    <mergeCell ref="D9:E9"/>
    <mergeCell ref="F9:G9"/>
    <mergeCell ref="H9:J9"/>
  </mergeCells>
  <phoneticPr fontId="95" type="noConversion"/>
  <conditionalFormatting sqref="D15:I25">
    <cfRule type="cellIs" dxfId="20" priority="1" operator="lessThan">
      <formula>0.55</formula>
    </cfRule>
  </conditionalFormatting>
  <pageMargins left="0.7" right="0.7" top="0.75" bottom="0.75" header="0" footer="0"/>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4E63C-2FCE-43F4-9D16-AE782938BBD5}">
  <sheetPr>
    <tabColor theme="9" tint="-0.499984740745262"/>
    <pageSetUpPr fitToPage="1"/>
  </sheetPr>
  <dimension ref="B2:N50"/>
  <sheetViews>
    <sheetView showGridLines="0" workbookViewId="0">
      <selection activeCell="D7" sqref="D7:E7"/>
    </sheetView>
  </sheetViews>
  <sheetFormatPr defaultColWidth="12.5703125" defaultRowHeight="15.75" customHeight="1" x14ac:dyDescent="0.2"/>
  <cols>
    <col min="1" max="1" width="3.42578125" customWidth="1"/>
    <col min="2" max="2" width="14.140625" customWidth="1"/>
    <col min="3" max="3" width="16.85546875" customWidth="1"/>
    <col min="4" max="4" width="17.28515625" customWidth="1"/>
    <col min="5"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Índex!B60</f>
        <v xml:space="preserve"> PS4.03_Ind04. </v>
      </c>
      <c r="E4" s="716"/>
      <c r="F4" s="567" t="s">
        <v>194</v>
      </c>
      <c r="G4" s="569"/>
      <c r="H4" s="718" t="str">
        <f>Índex!C60</f>
        <v xml:space="preserve">Valoració mitjana per titulació a l’afirmació “Estic satisfet/a amb el professorat”, de l’enquesta de satisfacció dels titulats i titulades
</v>
      </c>
      <c r="I4" s="715"/>
      <c r="J4" s="716"/>
    </row>
    <row r="5" spans="2:10" ht="22.5" customHeight="1" x14ac:dyDescent="0.2">
      <c r="B5" s="567" t="s">
        <v>195</v>
      </c>
      <c r="C5" s="569"/>
      <c r="D5" s="718" t="str">
        <f>Índex!F60</f>
        <v>≥3</v>
      </c>
      <c r="E5" s="716"/>
      <c r="F5" s="567" t="s">
        <v>196</v>
      </c>
      <c r="G5" s="569"/>
      <c r="H5" s="718" t="s">
        <v>216</v>
      </c>
      <c r="I5" s="715"/>
      <c r="J5" s="716"/>
    </row>
    <row r="6" spans="2:10" ht="22.5" customHeight="1" x14ac:dyDescent="0.2">
      <c r="B6" s="567" t="s">
        <v>471</v>
      </c>
      <c r="C6" s="569"/>
      <c r="D6" s="718" t="str">
        <f>Índex!H60</f>
        <v>Objectiu de Qualitat. Grups d'interès</v>
      </c>
      <c r="E6" s="716"/>
      <c r="F6" s="567" t="s">
        <v>462</v>
      </c>
      <c r="G6" s="569"/>
      <c r="H6" s="718"/>
      <c r="I6" s="715"/>
      <c r="J6" s="716"/>
    </row>
    <row r="7" spans="2:10" ht="22.5" customHeight="1" x14ac:dyDescent="0.2">
      <c r="B7" s="567" t="s">
        <v>463</v>
      </c>
      <c r="C7" s="569"/>
      <c r="D7" s="718"/>
      <c r="E7" s="716"/>
      <c r="F7" s="567" t="s">
        <v>464</v>
      </c>
      <c r="G7" s="569"/>
      <c r="H7" s="718" t="s">
        <v>565</v>
      </c>
      <c r="I7" s="715"/>
      <c r="J7" s="716"/>
    </row>
    <row r="8" spans="2:10" ht="22.5" customHeight="1" x14ac:dyDescent="0.2">
      <c r="B8" s="567" t="s">
        <v>465</v>
      </c>
      <c r="C8" s="569"/>
      <c r="D8" s="718" t="str">
        <f>Índex!D60</f>
        <v>Degà</v>
      </c>
      <c r="E8" s="716"/>
      <c r="F8" s="567" t="s">
        <v>472</v>
      </c>
      <c r="G8" s="569"/>
      <c r="H8" s="718" t="str">
        <f>Índex!E60</f>
        <v>Gestora de Qualitat</v>
      </c>
      <c r="I8" s="715"/>
      <c r="J8" s="716"/>
    </row>
    <row r="9" spans="2:10" ht="50.25" customHeight="1" x14ac:dyDescent="0.2">
      <c r="B9" s="567" t="s">
        <v>461</v>
      </c>
      <c r="C9" s="569"/>
      <c r="D9" s="718" t="str">
        <f>Índex!G60</f>
        <v xml:space="preserve">PS4.03. Gestió de la Política de PDI  </v>
      </c>
      <c r="E9" s="716"/>
      <c r="F9" s="567" t="s">
        <v>467</v>
      </c>
      <c r="G9" s="569"/>
      <c r="H9" s="718" t="s">
        <v>571</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965"/>
      <c r="C14" s="966"/>
      <c r="D14" s="78" t="s">
        <v>200</v>
      </c>
      <c r="E14" s="78" t="s">
        <v>201</v>
      </c>
      <c r="F14" s="78" t="s">
        <v>202</v>
      </c>
      <c r="G14" s="78" t="s">
        <v>203</v>
      </c>
      <c r="H14" s="78" t="s">
        <v>204</v>
      </c>
      <c r="I14" s="78" t="s">
        <v>205</v>
      </c>
    </row>
    <row r="15" spans="2:10" ht="41.25" customHeight="1" x14ac:dyDescent="0.2">
      <c r="B15" s="739" t="s">
        <v>218</v>
      </c>
      <c r="C15" s="739"/>
      <c r="D15" s="386">
        <v>3.25</v>
      </c>
      <c r="E15" s="386">
        <v>3.63</v>
      </c>
      <c r="F15" s="321">
        <v>3.6</v>
      </c>
      <c r="G15" s="386">
        <v>3.6</v>
      </c>
      <c r="H15" s="386">
        <v>3.47</v>
      </c>
      <c r="I15" s="92">
        <v>3.62</v>
      </c>
    </row>
    <row r="16" spans="2:10" ht="41.25" customHeight="1" x14ac:dyDescent="0.2">
      <c r="B16" s="739" t="s">
        <v>235</v>
      </c>
      <c r="C16" s="739"/>
      <c r="D16" s="386" t="s">
        <v>213</v>
      </c>
      <c r="E16" s="386" t="s">
        <v>213</v>
      </c>
      <c r="F16" s="321" t="s">
        <v>213</v>
      </c>
      <c r="G16" s="386" t="s">
        <v>213</v>
      </c>
      <c r="H16" s="386">
        <v>3.86</v>
      </c>
      <c r="I16" s="92">
        <v>3.43</v>
      </c>
    </row>
    <row r="17" spans="2:9" ht="41.25" customHeight="1" x14ac:dyDescent="0.2">
      <c r="B17" s="739" t="s">
        <v>262</v>
      </c>
      <c r="C17" s="739"/>
      <c r="D17" s="386">
        <v>4</v>
      </c>
      <c r="E17" s="386">
        <v>2</v>
      </c>
      <c r="F17" s="321">
        <v>3.4</v>
      </c>
      <c r="G17" s="386">
        <v>4</v>
      </c>
      <c r="H17" s="386">
        <v>3.33</v>
      </c>
      <c r="I17" s="92">
        <v>3.33</v>
      </c>
    </row>
    <row r="18" spans="2:9" ht="41.25" customHeight="1" x14ac:dyDescent="0.2">
      <c r="B18" s="739" t="s">
        <v>221</v>
      </c>
      <c r="C18" s="739"/>
      <c r="D18" s="386">
        <v>2.44</v>
      </c>
      <c r="E18" s="386">
        <v>4.2</v>
      </c>
      <c r="F18" s="321">
        <v>3.83</v>
      </c>
      <c r="G18" s="386">
        <v>2.5</v>
      </c>
      <c r="H18" s="386">
        <v>3.33</v>
      </c>
      <c r="I18" s="92">
        <v>3.27</v>
      </c>
    </row>
    <row r="19" spans="2:9" ht="41.25" customHeight="1" x14ac:dyDescent="0.2">
      <c r="B19" s="739" t="s">
        <v>294</v>
      </c>
      <c r="C19" s="739"/>
      <c r="D19" s="386">
        <v>3</v>
      </c>
      <c r="E19" s="386">
        <v>2.95</v>
      </c>
      <c r="F19" s="321">
        <v>3.15</v>
      </c>
      <c r="G19" s="386">
        <v>2.67</v>
      </c>
      <c r="H19" s="386">
        <v>3.56</v>
      </c>
      <c r="I19" s="92">
        <v>3.57</v>
      </c>
    </row>
    <row r="20" spans="2:9" ht="41.25" customHeight="1" x14ac:dyDescent="0.2">
      <c r="B20" s="739" t="s">
        <v>295</v>
      </c>
      <c r="C20" s="739"/>
      <c r="D20" s="386">
        <v>3.13</v>
      </c>
      <c r="E20" s="386">
        <v>3.25</v>
      </c>
      <c r="F20" s="387" t="s">
        <v>282</v>
      </c>
      <c r="G20" s="386">
        <v>3</v>
      </c>
      <c r="H20" s="386">
        <v>3.63</v>
      </c>
      <c r="I20" s="92">
        <v>3.5</v>
      </c>
    </row>
    <row r="21" spans="2:9" ht="41.25" customHeight="1" x14ac:dyDescent="0.2">
      <c r="B21" s="739" t="s">
        <v>224</v>
      </c>
      <c r="C21" s="739"/>
      <c r="D21" s="386">
        <v>3.2</v>
      </c>
      <c r="E21" s="386">
        <v>3.71</v>
      </c>
      <c r="F21" s="387" t="s">
        <v>282</v>
      </c>
      <c r="G21" s="386">
        <v>3.5</v>
      </c>
      <c r="H21" s="388">
        <v>3.86</v>
      </c>
      <c r="I21" s="92" t="s">
        <v>213</v>
      </c>
    </row>
    <row r="22" spans="2:9" ht="41.25" customHeight="1" x14ac:dyDescent="0.2">
      <c r="B22" s="813" t="s">
        <v>225</v>
      </c>
      <c r="C22" s="814"/>
      <c r="D22" s="386">
        <v>3.8</v>
      </c>
      <c r="E22" s="386">
        <v>3.33</v>
      </c>
      <c r="F22" s="387" t="s">
        <v>282</v>
      </c>
      <c r="G22" s="388" t="s">
        <v>282</v>
      </c>
      <c r="H22" s="386">
        <v>4.8600000000000003</v>
      </c>
      <c r="I22" s="92">
        <v>3.77</v>
      </c>
    </row>
    <row r="23" spans="2:9" ht="41.25" customHeight="1" x14ac:dyDescent="0.2">
      <c r="B23" s="739" t="s">
        <v>226</v>
      </c>
      <c r="C23" s="739"/>
      <c r="D23" s="386">
        <v>3.64</v>
      </c>
      <c r="E23" s="386">
        <v>4.07</v>
      </c>
      <c r="F23" s="321">
        <v>3.55</v>
      </c>
      <c r="G23" s="386">
        <v>3.2</v>
      </c>
      <c r="H23" s="386">
        <v>4.03</v>
      </c>
      <c r="I23" s="92">
        <v>4</v>
      </c>
    </row>
    <row r="24" spans="2:9" ht="41.25" customHeight="1" x14ac:dyDescent="0.2">
      <c r="B24" s="739" t="s">
        <v>227</v>
      </c>
      <c r="C24" s="739"/>
      <c r="D24" s="386">
        <v>3.4</v>
      </c>
      <c r="E24" s="386">
        <v>3.33</v>
      </c>
      <c r="F24" s="321">
        <v>3.4</v>
      </c>
      <c r="G24" s="386">
        <v>3</v>
      </c>
      <c r="H24" s="386">
        <v>3.64</v>
      </c>
      <c r="I24" s="92">
        <v>3.47</v>
      </c>
    </row>
    <row r="25" spans="2:9" ht="41.25" customHeight="1" x14ac:dyDescent="0.2">
      <c r="B25" s="739" t="s">
        <v>228</v>
      </c>
      <c r="C25" s="739"/>
      <c r="D25" s="321" t="s">
        <v>282</v>
      </c>
      <c r="E25" s="386">
        <v>3.15</v>
      </c>
      <c r="F25" s="321">
        <v>3.17</v>
      </c>
      <c r="G25" s="386">
        <v>4</v>
      </c>
      <c r="H25" s="388">
        <v>3.32</v>
      </c>
      <c r="I25" s="92">
        <v>3.65</v>
      </c>
    </row>
    <row r="26" spans="2:9" ht="41.25" customHeight="1" x14ac:dyDescent="0.2">
      <c r="B26" s="739" t="s">
        <v>241</v>
      </c>
      <c r="C26" s="739"/>
      <c r="D26" s="386">
        <v>3</v>
      </c>
      <c r="E26" s="386">
        <v>5</v>
      </c>
      <c r="F26" s="321">
        <v>3.83</v>
      </c>
      <c r="G26" s="388" t="s">
        <v>282</v>
      </c>
      <c r="H26" s="388">
        <v>3.72</v>
      </c>
      <c r="I26" s="92">
        <v>3</v>
      </c>
    </row>
    <row r="27" spans="2:9" ht="41.25" customHeight="1" x14ac:dyDescent="0.2">
      <c r="B27" s="739" t="s">
        <v>266</v>
      </c>
      <c r="C27" s="739"/>
      <c r="D27" s="386">
        <v>3</v>
      </c>
      <c r="E27" s="386">
        <v>4</v>
      </c>
      <c r="F27" s="321" t="s">
        <v>410</v>
      </c>
      <c r="G27" s="388" t="s">
        <v>282</v>
      </c>
      <c r="H27" s="388">
        <v>3.75</v>
      </c>
      <c r="I27" s="92" t="s">
        <v>213</v>
      </c>
    </row>
    <row r="28" spans="2:9" ht="41.25" customHeight="1" x14ac:dyDescent="0.2">
      <c r="B28" s="739" t="s">
        <v>252</v>
      </c>
      <c r="C28" s="739"/>
      <c r="D28" s="386">
        <v>5</v>
      </c>
      <c r="E28" s="386">
        <v>5</v>
      </c>
      <c r="F28" s="321">
        <v>4.22</v>
      </c>
      <c r="G28" s="388" t="s">
        <v>282</v>
      </c>
      <c r="H28" s="388">
        <v>4.09</v>
      </c>
      <c r="I28" s="92">
        <v>4.4000000000000004</v>
      </c>
    </row>
    <row r="29" spans="2:9" ht="41.25" customHeight="1" x14ac:dyDescent="0.2">
      <c r="B29" s="739" t="s">
        <v>244</v>
      </c>
      <c r="C29" s="739"/>
      <c r="D29" s="386">
        <v>4</v>
      </c>
      <c r="E29" s="387" t="s">
        <v>282</v>
      </c>
      <c r="F29" s="321" t="s">
        <v>264</v>
      </c>
      <c r="G29" s="386">
        <v>2</v>
      </c>
      <c r="H29" s="386">
        <v>3</v>
      </c>
      <c r="I29" s="92">
        <v>3.9</v>
      </c>
    </row>
    <row r="30" spans="2:9" ht="41.25" customHeight="1" x14ac:dyDescent="0.2">
      <c r="B30" s="739" t="s">
        <v>253</v>
      </c>
      <c r="C30" s="739"/>
      <c r="D30" s="386">
        <v>3</v>
      </c>
      <c r="E30" s="386">
        <v>3.67</v>
      </c>
      <c r="F30" s="321" t="s">
        <v>264</v>
      </c>
      <c r="G30" s="386">
        <v>3</v>
      </c>
      <c r="H30" s="386">
        <v>3.78</v>
      </c>
      <c r="I30" s="92" t="s">
        <v>213</v>
      </c>
    </row>
    <row r="31" spans="2:9" ht="41.25" customHeight="1" x14ac:dyDescent="0.2">
      <c r="B31" s="739" t="s">
        <v>245</v>
      </c>
      <c r="C31" s="739"/>
      <c r="D31" s="386">
        <v>5</v>
      </c>
      <c r="E31" s="386">
        <v>4</v>
      </c>
      <c r="F31" s="321" t="s">
        <v>264</v>
      </c>
      <c r="G31" s="388" t="s">
        <v>282</v>
      </c>
      <c r="H31" s="388" t="s">
        <v>213</v>
      </c>
      <c r="I31" s="92" t="s">
        <v>213</v>
      </c>
    </row>
    <row r="32" spans="2:9" ht="41.25" customHeight="1" x14ac:dyDescent="0.2">
      <c r="B32" s="739" t="s">
        <v>254</v>
      </c>
      <c r="C32" s="739"/>
      <c r="D32" s="386">
        <v>2</v>
      </c>
      <c r="E32" s="386">
        <v>5</v>
      </c>
      <c r="F32" s="321" t="s">
        <v>264</v>
      </c>
      <c r="G32" s="386">
        <v>2.67</v>
      </c>
      <c r="H32" s="386">
        <v>3.77</v>
      </c>
      <c r="I32" s="92" t="s">
        <v>213</v>
      </c>
    </row>
    <row r="33" spans="2:14" ht="22.5" customHeight="1" x14ac:dyDescent="0.2">
      <c r="B33" s="909" t="str">
        <f>D5</f>
        <v>≥3</v>
      </c>
      <c r="C33" s="909"/>
      <c r="D33" s="45">
        <f t="shared" ref="D33:I33" si="0">COUNTIF(D15:D32,"&gt;="&amp;D35)</f>
        <v>14</v>
      </c>
      <c r="E33" s="45">
        <f t="shared" si="0"/>
        <v>14</v>
      </c>
      <c r="F33" s="45">
        <f t="shared" si="0"/>
        <v>9</v>
      </c>
      <c r="G33" s="45">
        <f t="shared" si="0"/>
        <v>8</v>
      </c>
      <c r="H33" s="45">
        <f t="shared" si="0"/>
        <v>17</v>
      </c>
      <c r="I33" s="45">
        <f t="shared" si="0"/>
        <v>13</v>
      </c>
    </row>
    <row r="34" spans="2:14" ht="22.5" customHeight="1" x14ac:dyDescent="0.2">
      <c r="B34" s="735" t="s">
        <v>248</v>
      </c>
      <c r="C34" s="967"/>
      <c r="D34" s="45">
        <f t="shared" ref="D34:I34" si="1">COUNT(D15:D32)</f>
        <v>16</v>
      </c>
      <c r="E34" s="45">
        <f t="shared" si="1"/>
        <v>16</v>
      </c>
      <c r="F34" s="45">
        <f t="shared" si="1"/>
        <v>9</v>
      </c>
      <c r="G34" s="45">
        <f t="shared" si="1"/>
        <v>12</v>
      </c>
      <c r="H34" s="45">
        <f t="shared" si="1"/>
        <v>17</v>
      </c>
      <c r="I34" s="45">
        <f t="shared" si="1"/>
        <v>13</v>
      </c>
    </row>
    <row r="35" spans="2:14" ht="22.5" customHeight="1" x14ac:dyDescent="0.2">
      <c r="B35" s="910" t="s">
        <v>207</v>
      </c>
      <c r="C35" s="911"/>
      <c r="D35" s="56">
        <v>3</v>
      </c>
      <c r="E35" s="56">
        <v>3</v>
      </c>
      <c r="F35" s="56">
        <v>3</v>
      </c>
      <c r="G35" s="56">
        <v>3</v>
      </c>
      <c r="H35" s="56">
        <v>3</v>
      </c>
      <c r="I35" s="56">
        <v>3</v>
      </c>
    </row>
    <row r="36" spans="2:14" ht="22.5" customHeight="1" x14ac:dyDescent="0.2">
      <c r="B36" s="730" t="s">
        <v>208</v>
      </c>
      <c r="C36" s="787"/>
      <c r="D36" s="47">
        <f t="shared" ref="D36:I36" si="2">D33/D34</f>
        <v>0.875</v>
      </c>
      <c r="E36" s="47">
        <f t="shared" si="2"/>
        <v>0.875</v>
      </c>
      <c r="F36" s="269">
        <f t="shared" si="2"/>
        <v>1</v>
      </c>
      <c r="G36" s="47">
        <f t="shared" si="2"/>
        <v>0.66666666666666663</v>
      </c>
      <c r="H36" s="269">
        <f t="shared" si="2"/>
        <v>1</v>
      </c>
      <c r="I36" s="47">
        <f t="shared" si="2"/>
        <v>1</v>
      </c>
    </row>
    <row r="37" spans="2:14" ht="22.5" customHeight="1" x14ac:dyDescent="0.25">
      <c r="B37" s="7"/>
      <c r="C37" s="7"/>
      <c r="D37" s="6"/>
      <c r="E37" s="6"/>
      <c r="F37" s="6"/>
      <c r="G37" s="6"/>
      <c r="H37" s="6"/>
      <c r="I37" s="6"/>
      <c r="J37" s="6"/>
    </row>
    <row r="38" spans="2:14" ht="22.5" customHeight="1" x14ac:dyDescent="0.2">
      <c r="B38" s="567" t="s">
        <v>469</v>
      </c>
      <c r="C38" s="568"/>
      <c r="D38" s="568"/>
      <c r="E38" s="569"/>
      <c r="F38" s="8"/>
      <c r="K38" s="801" t="s">
        <v>470</v>
      </c>
      <c r="L38" s="802"/>
      <c r="M38" s="802"/>
      <c r="N38" s="803"/>
    </row>
    <row r="39" spans="2:14" ht="22.5" customHeight="1" x14ac:dyDescent="0.2">
      <c r="B39" s="8"/>
      <c r="C39" s="8"/>
      <c r="D39" s="8"/>
      <c r="E39" s="8"/>
      <c r="F39" s="8"/>
      <c r="K39" s="667" t="s">
        <v>411</v>
      </c>
      <c r="L39" s="667"/>
      <c r="M39" s="667"/>
      <c r="N39" s="667"/>
    </row>
    <row r="40" spans="2:14" ht="6" customHeight="1" x14ac:dyDescent="0.2">
      <c r="B40" s="8"/>
      <c r="C40" s="8"/>
      <c r="D40" s="8"/>
      <c r="E40" s="8"/>
      <c r="F40" s="8"/>
      <c r="K40" s="667"/>
      <c r="L40" s="667"/>
      <c r="M40" s="667"/>
      <c r="N40" s="667"/>
    </row>
    <row r="41" spans="2:14" ht="19.5" customHeight="1" x14ac:dyDescent="0.2">
      <c r="B41" s="8"/>
      <c r="C41" s="8"/>
      <c r="D41" s="8"/>
      <c r="E41" s="8"/>
      <c r="F41" s="8"/>
      <c r="K41" s="667"/>
      <c r="L41" s="667"/>
      <c r="M41" s="667"/>
      <c r="N41" s="667"/>
    </row>
    <row r="42" spans="2:14" ht="19.5" customHeight="1" x14ac:dyDescent="0.2">
      <c r="B42" s="8"/>
      <c r="C42" s="8"/>
      <c r="D42" s="8"/>
      <c r="E42" s="8"/>
      <c r="F42" s="8"/>
      <c r="K42" s="667"/>
      <c r="L42" s="667"/>
      <c r="M42" s="667"/>
      <c r="N42" s="667"/>
    </row>
    <row r="43" spans="2:14" ht="19.5" customHeight="1" x14ac:dyDescent="0.2">
      <c r="B43" s="8"/>
      <c r="C43" s="8"/>
      <c r="D43" s="8"/>
      <c r="E43" s="8"/>
      <c r="F43" s="8"/>
      <c r="K43" s="667"/>
      <c r="L43" s="667"/>
      <c r="M43" s="667"/>
      <c r="N43" s="667"/>
    </row>
    <row r="44" spans="2:14" ht="19.5" customHeight="1" x14ac:dyDescent="0.2">
      <c r="B44" s="8"/>
      <c r="C44" s="8"/>
      <c r="D44" s="8"/>
      <c r="E44" s="8"/>
      <c r="F44" s="8"/>
      <c r="K44" s="667"/>
      <c r="L44" s="667"/>
      <c r="M44" s="667"/>
      <c r="N44" s="667"/>
    </row>
    <row r="45" spans="2:14" ht="19.5" customHeight="1" x14ac:dyDescent="0.2">
      <c r="B45" s="8"/>
      <c r="C45" s="8"/>
      <c r="D45" s="8"/>
      <c r="E45" s="8"/>
      <c r="F45" s="8"/>
      <c r="K45" s="667"/>
      <c r="L45" s="667"/>
      <c r="M45" s="667"/>
      <c r="N45" s="667"/>
    </row>
    <row r="46" spans="2:14" ht="19.5" customHeight="1" x14ac:dyDescent="0.2">
      <c r="B46" s="8"/>
      <c r="C46" s="8"/>
      <c r="D46" s="8"/>
      <c r="E46" s="8"/>
      <c r="F46" s="8"/>
      <c r="K46" s="667"/>
      <c r="L46" s="667"/>
      <c r="M46" s="667"/>
      <c r="N46" s="667"/>
    </row>
    <row r="47" spans="2:14" ht="19.5" customHeight="1" x14ac:dyDescent="0.2">
      <c r="B47" s="8"/>
      <c r="C47" s="8"/>
      <c r="D47" s="8"/>
      <c r="E47" s="8"/>
      <c r="F47" s="8"/>
      <c r="K47" s="667"/>
      <c r="L47" s="667"/>
      <c r="M47" s="667"/>
      <c r="N47" s="667"/>
    </row>
    <row r="48" spans="2:14" ht="19.5" customHeight="1" x14ac:dyDescent="0.2">
      <c r="B48" s="8"/>
      <c r="C48" s="8"/>
      <c r="D48" s="8"/>
      <c r="E48" s="8"/>
      <c r="F48" s="8"/>
      <c r="K48" s="667"/>
      <c r="L48" s="667"/>
      <c r="M48" s="667"/>
      <c r="N48" s="667"/>
    </row>
    <row r="49" spans="8:10" ht="19.5" customHeight="1" x14ac:dyDescent="0.2"/>
    <row r="50" spans="8:10" ht="19.5" customHeight="1" x14ac:dyDescent="0.2">
      <c r="H50" s="559" t="s">
        <v>155</v>
      </c>
      <c r="I50" s="560"/>
      <c r="J50" s="560"/>
    </row>
  </sheetData>
  <sheetProtection formatCells="0" formatColumns="0" formatRows="0" insertColumns="0" insertRows="0" insertHyperlinks="0" deleteColumns="0" deleteRows="0" pivotTables="0"/>
  <mergeCells count="54">
    <mergeCell ref="H50:J50"/>
    <mergeCell ref="K38:N38"/>
    <mergeCell ref="B33:C33"/>
    <mergeCell ref="B34:C34"/>
    <mergeCell ref="B36:C36"/>
    <mergeCell ref="B38:E38"/>
    <mergeCell ref="K39:N48"/>
    <mergeCell ref="B35:C35"/>
    <mergeCell ref="B32:C32"/>
    <mergeCell ref="B20:C20"/>
    <mergeCell ref="B21:C21"/>
    <mergeCell ref="B23:C23"/>
    <mergeCell ref="B24:C24"/>
    <mergeCell ref="B25:C25"/>
    <mergeCell ref="B26:C26"/>
    <mergeCell ref="B27:C27"/>
    <mergeCell ref="B28:C28"/>
    <mergeCell ref="B29:C29"/>
    <mergeCell ref="B30:C30"/>
    <mergeCell ref="B31:C31"/>
    <mergeCell ref="B22:C22"/>
    <mergeCell ref="B19:C19"/>
    <mergeCell ref="B9:C9"/>
    <mergeCell ref="B11:J11"/>
    <mergeCell ref="B15:C15"/>
    <mergeCell ref="B16:C16"/>
    <mergeCell ref="B17:C17"/>
    <mergeCell ref="B18:C18"/>
    <mergeCell ref="B14:C14"/>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 ref="B8:C8"/>
    <mergeCell ref="D8:E8"/>
    <mergeCell ref="F8:G8"/>
    <mergeCell ref="H8:J8"/>
    <mergeCell ref="D9:E9"/>
    <mergeCell ref="F9:G9"/>
    <mergeCell ref="H9:J9"/>
  </mergeCells>
  <phoneticPr fontId="25" type="noConversion"/>
  <conditionalFormatting sqref="D15:I32">
    <cfRule type="cellIs" dxfId="19" priority="3" operator="between">
      <formula>0</formula>
      <formula>2.7</formula>
    </cfRule>
  </conditionalFormatting>
  <conditionalFormatting sqref="H15:H16">
    <cfRule type="cellIs" dxfId="18" priority="1" operator="between">
      <formula>0</formula>
      <formula>2.7</formula>
    </cfRule>
  </conditionalFormatting>
  <pageMargins left="0.7" right="0.7" top="0.75" bottom="0.75" header="0" footer="0"/>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D79A1-FB2D-4DA2-BBD3-5AB76F20BBE5}">
  <sheetPr>
    <tabColor theme="9" tint="-0.499984740745262"/>
    <pageSetUpPr fitToPage="1"/>
  </sheetPr>
  <dimension ref="B2:N31"/>
  <sheetViews>
    <sheetView showGridLines="0" workbookViewId="0">
      <selection activeCell="D9" sqref="D9:J9"/>
    </sheetView>
  </sheetViews>
  <sheetFormatPr defaultColWidth="12.5703125" defaultRowHeight="15.75" customHeight="1" x14ac:dyDescent="0.2"/>
  <cols>
    <col min="1" max="1" width="3.42578125" customWidth="1"/>
    <col min="2" max="2" width="14.140625" customWidth="1"/>
    <col min="3" max="3" width="23.85546875" customWidth="1"/>
    <col min="4" max="4" width="17.28515625" bestFit="1" customWidth="1"/>
    <col min="5" max="6" width="12.5703125" customWidth="1"/>
    <col min="7" max="7" width="19.28515625" customWidth="1"/>
    <col min="8"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917" t="s">
        <v>193</v>
      </c>
      <c r="C4" s="789"/>
      <c r="D4" s="786" t="str">
        <f>Índex!B61</f>
        <v>PS4.03_Ind05.</v>
      </c>
      <c r="E4" s="787"/>
      <c r="F4" s="917" t="s">
        <v>194</v>
      </c>
      <c r="G4" s="789"/>
      <c r="H4" s="786" t="str">
        <f>Índex!C61</f>
        <v xml:space="preserve"> Número d'accions polítiques que s'han fet amb les coordinacions (Pla Estratègic 2022/2023 fins 2024/2025)</v>
      </c>
      <c r="I4" s="787"/>
      <c r="J4" s="787"/>
    </row>
    <row r="5" spans="2:10" ht="22.5" customHeight="1" x14ac:dyDescent="0.2">
      <c r="B5" s="917" t="s">
        <v>285</v>
      </c>
      <c r="C5" s="789"/>
      <c r="D5" s="786">
        <f>Índex!F61</f>
        <v>4</v>
      </c>
      <c r="E5" s="787"/>
      <c r="F5" s="919" t="s">
        <v>196</v>
      </c>
      <c r="G5" s="789"/>
      <c r="H5" s="871" t="s">
        <v>212</v>
      </c>
      <c r="I5" s="787"/>
      <c r="J5" s="787"/>
    </row>
    <row r="6" spans="2:10" ht="22.5" customHeight="1" x14ac:dyDescent="0.2">
      <c r="B6" s="920" t="s">
        <v>471</v>
      </c>
      <c r="C6" s="921"/>
      <c r="D6" s="954" t="str">
        <f>Índex!H61</f>
        <v>Pla Estratègic</v>
      </c>
      <c r="E6" s="955"/>
      <c r="F6" s="1002" t="s">
        <v>462</v>
      </c>
      <c r="G6" s="1003"/>
      <c r="H6" s="912"/>
      <c r="I6" s="913"/>
      <c r="J6" s="914"/>
    </row>
    <row r="7" spans="2:10" ht="22.5" customHeight="1" x14ac:dyDescent="0.2">
      <c r="B7" s="920" t="s">
        <v>463</v>
      </c>
      <c r="C7" s="921"/>
      <c r="D7" s="954"/>
      <c r="E7" s="955"/>
      <c r="F7" s="1002" t="s">
        <v>464</v>
      </c>
      <c r="G7" s="1003"/>
      <c r="H7" s="912" t="s">
        <v>198</v>
      </c>
      <c r="I7" s="913"/>
      <c r="J7" s="914"/>
    </row>
    <row r="8" spans="2:10" ht="22.5" customHeight="1" x14ac:dyDescent="0.2">
      <c r="B8" s="917" t="s">
        <v>465</v>
      </c>
      <c r="C8" s="789"/>
      <c r="D8" s="786" t="str">
        <f>Índex!D61</f>
        <v>Degà</v>
      </c>
      <c r="E8" s="787"/>
      <c r="F8" s="917" t="s">
        <v>637</v>
      </c>
      <c r="G8" s="789"/>
      <c r="H8" s="731" t="str">
        <f>Índex!E61</f>
        <v xml:space="preserve">Secretària de Deganat </v>
      </c>
      <c r="I8" s="915"/>
      <c r="J8" s="916"/>
    </row>
    <row r="9" spans="2:10" ht="22.5" customHeight="1" x14ac:dyDescent="0.2">
      <c r="B9" s="917" t="s">
        <v>461</v>
      </c>
      <c r="C9" s="789"/>
      <c r="D9" s="786" t="str">
        <f>Índex!G61</f>
        <v xml:space="preserve">PS4.03. Gestió de la Política de PDI  </v>
      </c>
      <c r="E9" s="787"/>
      <c r="F9" s="787"/>
      <c r="G9" s="787"/>
      <c r="H9" s="787"/>
      <c r="I9" s="787"/>
      <c r="J9" s="787"/>
    </row>
    <row r="10" spans="2:10" ht="7.5" customHeight="1" x14ac:dyDescent="0.2"/>
    <row r="11" spans="2:10" ht="22.5" customHeight="1" x14ac:dyDescent="0.2">
      <c r="B11" s="1033" t="s">
        <v>645</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78" t="s">
        <v>201</v>
      </c>
      <c r="E14" s="78" t="s">
        <v>202</v>
      </c>
      <c r="F14" s="78" t="s">
        <v>203</v>
      </c>
      <c r="G14" s="78" t="s">
        <v>204</v>
      </c>
      <c r="H14" s="78" t="s">
        <v>205</v>
      </c>
      <c r="I14" s="78" t="s">
        <v>256</v>
      </c>
    </row>
    <row r="15" spans="2:10" ht="41.25" customHeight="1" x14ac:dyDescent="0.2">
      <c r="B15" s="739" t="s">
        <v>412</v>
      </c>
      <c r="C15" s="813"/>
      <c r="D15" s="167" t="s">
        <v>213</v>
      </c>
      <c r="E15" s="167" t="s">
        <v>213</v>
      </c>
      <c r="F15" s="168" t="s">
        <v>213</v>
      </c>
      <c r="G15" s="168" t="s">
        <v>213</v>
      </c>
      <c r="H15" s="168">
        <v>3</v>
      </c>
      <c r="I15" s="168">
        <v>1</v>
      </c>
      <c r="J15" s="97"/>
    </row>
    <row r="16" spans="2:10" ht="22.5" customHeight="1" x14ac:dyDescent="0.2">
      <c r="B16" s="40" t="s">
        <v>207</v>
      </c>
      <c r="C16" s="11">
        <f>D5</f>
        <v>4</v>
      </c>
      <c r="D16" s="169">
        <v>4</v>
      </c>
      <c r="E16" s="169">
        <v>4</v>
      </c>
      <c r="F16" s="169">
        <v>4</v>
      </c>
      <c r="G16" s="170">
        <v>4</v>
      </c>
      <c r="H16" s="169">
        <v>4</v>
      </c>
      <c r="I16" s="169">
        <v>4</v>
      </c>
    </row>
    <row r="17" spans="2:14" ht="22.5" customHeight="1" x14ac:dyDescent="0.2">
      <c r="B17" s="730" t="s">
        <v>208</v>
      </c>
      <c r="C17" s="787"/>
      <c r="D17" s="43"/>
      <c r="E17" s="43"/>
      <c r="F17" s="43"/>
      <c r="G17" s="166"/>
      <c r="H17" s="43">
        <f>H15/H16</f>
        <v>0.75</v>
      </c>
      <c r="I17" s="43">
        <v>0.25</v>
      </c>
    </row>
    <row r="19" spans="2:14" ht="22.5" customHeight="1" x14ac:dyDescent="0.2">
      <c r="B19" s="567" t="s">
        <v>646</v>
      </c>
      <c r="C19" s="568"/>
      <c r="D19" s="568"/>
      <c r="E19" s="569"/>
      <c r="F19" s="8"/>
      <c r="K19" s="567" t="s">
        <v>210</v>
      </c>
      <c r="L19" s="568"/>
      <c r="M19" s="568"/>
      <c r="N19" s="569"/>
    </row>
    <row r="20" spans="2:14" ht="22.5" customHeight="1" x14ac:dyDescent="0.2">
      <c r="B20" s="8"/>
      <c r="C20" s="8"/>
      <c r="D20" s="8"/>
      <c r="E20" s="8"/>
      <c r="F20" s="8"/>
      <c r="K20" s="9"/>
      <c r="L20" s="9"/>
      <c r="M20" s="9"/>
      <c r="N20" s="9"/>
    </row>
    <row r="21" spans="2:14" ht="6" customHeight="1" x14ac:dyDescent="0.2">
      <c r="B21" s="8"/>
      <c r="C21" s="8"/>
      <c r="D21" s="8"/>
      <c r="E21" s="8"/>
      <c r="F21" s="8"/>
      <c r="K21" s="709" t="s">
        <v>413</v>
      </c>
      <c r="L21" s="571"/>
      <c r="M21" s="571"/>
      <c r="N21" s="572"/>
    </row>
    <row r="22" spans="2:14" ht="19.5" customHeight="1" x14ac:dyDescent="0.2">
      <c r="B22" s="8"/>
      <c r="C22" s="8"/>
      <c r="D22" s="8"/>
      <c r="E22" s="8"/>
      <c r="F22" s="8"/>
      <c r="K22" s="573"/>
      <c r="L22" s="574"/>
      <c r="M22" s="574"/>
      <c r="N22" s="575"/>
    </row>
    <row r="23" spans="2:14" ht="19.5" customHeight="1" x14ac:dyDescent="0.2">
      <c r="B23" s="8"/>
      <c r="C23" s="8"/>
      <c r="D23" s="8"/>
      <c r="E23" s="8"/>
      <c r="F23" s="8"/>
      <c r="K23" s="573"/>
      <c r="L23" s="574"/>
      <c r="M23" s="574"/>
      <c r="N23" s="575"/>
    </row>
    <row r="24" spans="2:14" ht="19.5" customHeight="1" x14ac:dyDescent="0.2">
      <c r="B24" s="8"/>
      <c r="C24" s="8"/>
      <c r="D24" s="8"/>
      <c r="E24" s="8"/>
      <c r="F24" s="8"/>
      <c r="K24" s="573"/>
      <c r="L24" s="574"/>
      <c r="M24" s="574"/>
      <c r="N24" s="575"/>
    </row>
    <row r="25" spans="2:14" ht="19.5" customHeight="1" x14ac:dyDescent="0.2">
      <c r="B25" s="8"/>
      <c r="C25" s="8"/>
      <c r="D25" s="8"/>
      <c r="E25" s="8"/>
      <c r="F25" s="8"/>
      <c r="K25" s="573"/>
      <c r="L25" s="574"/>
      <c r="M25" s="574"/>
      <c r="N25" s="575"/>
    </row>
    <row r="26" spans="2:14" ht="19.5" customHeight="1" x14ac:dyDescent="0.2">
      <c r="B26" s="8"/>
      <c r="C26" s="8"/>
      <c r="D26" s="8"/>
      <c r="E26" s="8"/>
      <c r="F26" s="8"/>
      <c r="K26" s="573"/>
      <c r="L26" s="574"/>
      <c r="M26" s="574"/>
      <c r="N26" s="575"/>
    </row>
    <row r="27" spans="2:14" ht="19.5" customHeight="1" x14ac:dyDescent="0.2">
      <c r="B27" s="8"/>
      <c r="C27" s="8"/>
      <c r="D27" s="8"/>
      <c r="E27" s="8"/>
      <c r="F27" s="8"/>
      <c r="K27" s="573"/>
      <c r="L27" s="574"/>
      <c r="M27" s="574"/>
      <c r="N27" s="575"/>
    </row>
    <row r="28" spans="2:14" ht="19.5" customHeight="1" x14ac:dyDescent="0.2">
      <c r="B28" s="8"/>
      <c r="C28" s="8"/>
      <c r="D28" s="8"/>
      <c r="E28" s="8"/>
      <c r="F28" s="8"/>
      <c r="K28" s="573"/>
      <c r="L28" s="574"/>
      <c r="M28" s="574"/>
      <c r="N28" s="575"/>
    </row>
    <row r="29" spans="2:14" ht="19.5" customHeight="1" x14ac:dyDescent="0.2">
      <c r="B29" s="8"/>
      <c r="C29" s="8"/>
      <c r="D29" s="8"/>
      <c r="E29" s="8"/>
      <c r="F29" s="8"/>
      <c r="K29" s="576"/>
      <c r="L29" s="577"/>
      <c r="M29" s="577"/>
      <c r="N29" s="578"/>
    </row>
    <row r="30" spans="2:14" ht="19.5" customHeight="1" x14ac:dyDescent="0.2"/>
    <row r="31" spans="2:14" ht="19.5" customHeight="1" x14ac:dyDescent="0.2">
      <c r="H31" s="559" t="s">
        <v>155</v>
      </c>
      <c r="I31" s="560"/>
      <c r="J31" s="560"/>
    </row>
  </sheetData>
  <sheetProtection formatCells="0" formatColumns="0" formatRows="0" insertColumns="0" insertRows="0" insertHyperlinks="0" deleteColumns="0" deleteRows="0" pivotTables="0"/>
  <mergeCells count="31">
    <mergeCell ref="K19:N19"/>
    <mergeCell ref="K21:N29"/>
    <mergeCell ref="H31:J31"/>
    <mergeCell ref="B17:C17"/>
    <mergeCell ref="B19:E19"/>
    <mergeCell ref="B9:C9"/>
    <mergeCell ref="D9:J9"/>
    <mergeCell ref="B11:J11"/>
    <mergeCell ref="B15:C15"/>
    <mergeCell ref="B5:C5"/>
    <mergeCell ref="D5:E5"/>
    <mergeCell ref="F5:G5"/>
    <mergeCell ref="H5:J5"/>
    <mergeCell ref="B8:C8"/>
    <mergeCell ref="D8:E8"/>
    <mergeCell ref="F8:G8"/>
    <mergeCell ref="H8:J8"/>
    <mergeCell ref="H7:J7"/>
    <mergeCell ref="H6:J6"/>
    <mergeCell ref="F7:G7"/>
    <mergeCell ref="F6:G6"/>
    <mergeCell ref="D6:E6"/>
    <mergeCell ref="D7:E7"/>
    <mergeCell ref="B7:C7"/>
    <mergeCell ref="B6:C6"/>
    <mergeCell ref="B2:D2"/>
    <mergeCell ref="E2:J2"/>
    <mergeCell ref="B4:C4"/>
    <mergeCell ref="D4:E4"/>
    <mergeCell ref="F4:G4"/>
    <mergeCell ref="H4:J4"/>
  </mergeCells>
  <conditionalFormatting sqref="D15:I15">
    <cfRule type="cellIs" dxfId="17" priority="1" operator="lessThan">
      <formula>0.55</formula>
    </cfRule>
  </conditionalFormatting>
  <pageMargins left="0.7" right="0.7" top="0.75" bottom="0.75" header="0" footer="0"/>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6601E-48F3-45DC-BF2C-F8637E188874}">
  <sheetPr>
    <tabColor theme="9" tint="-0.499984740745262"/>
    <pageSetUpPr fitToPage="1"/>
  </sheetPr>
  <dimension ref="B2:N31"/>
  <sheetViews>
    <sheetView showGridLines="0" workbookViewId="0">
      <selection activeCell="D9" sqref="D9:J9"/>
    </sheetView>
  </sheetViews>
  <sheetFormatPr defaultColWidth="12.5703125" defaultRowHeight="15.75" customHeight="1" x14ac:dyDescent="0.2"/>
  <cols>
    <col min="1" max="1" width="3.42578125" customWidth="1"/>
    <col min="2" max="2" width="14.140625" customWidth="1"/>
    <col min="3" max="3" width="12.5703125" customWidth="1"/>
    <col min="4" max="4" width="17.28515625" bestFit="1" customWidth="1"/>
    <col min="5" max="6" width="12.5703125" customWidth="1"/>
    <col min="7" max="7" width="18.140625" customWidth="1"/>
    <col min="8"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917" t="s">
        <v>193</v>
      </c>
      <c r="C4" s="789"/>
      <c r="D4" s="786" t="str">
        <f>Índex!B62</f>
        <v>PS4.03_Ind06.</v>
      </c>
      <c r="E4" s="787"/>
      <c r="F4" s="917" t="s">
        <v>194</v>
      </c>
      <c r="G4" s="789"/>
      <c r="H4" s="786" t="str">
        <f>Índex!C62</f>
        <v>Número de reunions fetes entre el Deganat i totes les direccions de Departament de la Facultat per ajudar al seguiment del Pla estratègic del nou equip de Deganat  (Pla Estratègic 2022/2023 a 2024/2025)</v>
      </c>
      <c r="I4" s="787"/>
      <c r="J4" s="787"/>
    </row>
    <row r="5" spans="2:10" ht="22.5" customHeight="1" x14ac:dyDescent="0.2">
      <c r="B5" s="917" t="s">
        <v>285</v>
      </c>
      <c r="C5" s="789"/>
      <c r="D5" s="786" t="str">
        <f>Índex!F62</f>
        <v>1 bimensual</v>
      </c>
      <c r="E5" s="787"/>
      <c r="F5" s="919" t="s">
        <v>196</v>
      </c>
      <c r="G5" s="789"/>
      <c r="H5" s="871" t="s">
        <v>212</v>
      </c>
      <c r="I5" s="787"/>
      <c r="J5" s="787"/>
    </row>
    <row r="6" spans="2:10" ht="22.5" customHeight="1" x14ac:dyDescent="0.2">
      <c r="B6" s="920" t="s">
        <v>471</v>
      </c>
      <c r="C6" s="921"/>
      <c r="D6" s="954" t="str">
        <f>Índex!H62</f>
        <v>Pla Estratègic</v>
      </c>
      <c r="E6" s="955"/>
      <c r="F6" s="1002" t="s">
        <v>462</v>
      </c>
      <c r="G6" s="1003"/>
      <c r="H6" s="912"/>
      <c r="I6" s="913"/>
      <c r="J6" s="914"/>
    </row>
    <row r="7" spans="2:10" ht="22.5" customHeight="1" x14ac:dyDescent="0.2">
      <c r="B7" s="920" t="s">
        <v>463</v>
      </c>
      <c r="C7" s="921"/>
      <c r="D7" s="954"/>
      <c r="E7" s="955"/>
      <c r="F7" s="1002" t="s">
        <v>464</v>
      </c>
      <c r="G7" s="1003"/>
      <c r="H7" s="912" t="s">
        <v>198</v>
      </c>
      <c r="I7" s="913"/>
      <c r="J7" s="914"/>
    </row>
    <row r="8" spans="2:10" ht="22.5" customHeight="1" x14ac:dyDescent="0.2">
      <c r="B8" s="917" t="s">
        <v>465</v>
      </c>
      <c r="C8" s="789"/>
      <c r="D8" s="786" t="str">
        <f>Índex!D62</f>
        <v>Degà</v>
      </c>
      <c r="E8" s="787"/>
      <c r="F8" s="917" t="s">
        <v>637</v>
      </c>
      <c r="G8" s="789"/>
      <c r="H8" s="731" t="str">
        <f>Índex!E62</f>
        <v xml:space="preserve">Secretària de Deganat </v>
      </c>
      <c r="I8" s="915"/>
      <c r="J8" s="916"/>
    </row>
    <row r="9" spans="2:10" ht="22.5" customHeight="1" x14ac:dyDescent="0.2">
      <c r="B9" s="917" t="s">
        <v>461</v>
      </c>
      <c r="C9" s="789"/>
      <c r="D9" s="786" t="str">
        <f>Índex!G62</f>
        <v xml:space="preserve">PS4.03. Gestió de la Política de PDI  </v>
      </c>
      <c r="E9" s="787"/>
      <c r="F9" s="787"/>
      <c r="G9" s="787"/>
      <c r="H9" s="787"/>
      <c r="I9" s="787"/>
      <c r="J9" s="787"/>
    </row>
    <row r="10" spans="2:10" ht="7.5" customHeight="1" x14ac:dyDescent="0.2"/>
    <row r="11" spans="2:10" ht="22.5" customHeight="1" x14ac:dyDescent="0.2">
      <c r="B11" s="1033" t="s">
        <v>645</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thickBot="1" x14ac:dyDescent="0.25"/>
    <row r="14" spans="2:10" ht="22.5" customHeight="1" thickBot="1" x14ac:dyDescent="0.25">
      <c r="B14" s="14"/>
      <c r="C14" s="14"/>
      <c r="D14" s="78" t="s">
        <v>201</v>
      </c>
      <c r="E14" s="78" t="s">
        <v>202</v>
      </c>
      <c r="F14" s="78" t="s">
        <v>203</v>
      </c>
      <c r="G14" s="78" t="s">
        <v>204</v>
      </c>
      <c r="H14" s="78" t="s">
        <v>205</v>
      </c>
      <c r="I14" s="123" t="s">
        <v>256</v>
      </c>
    </row>
    <row r="15" spans="2:10" ht="41.25" customHeight="1" thickBot="1" x14ac:dyDescent="0.25">
      <c r="B15" s="739" t="s">
        <v>414</v>
      </c>
      <c r="C15" s="813"/>
      <c r="D15" s="167" t="s">
        <v>213</v>
      </c>
      <c r="E15" s="167" t="s">
        <v>213</v>
      </c>
      <c r="F15" s="168" t="s">
        <v>213</v>
      </c>
      <c r="G15" s="168" t="s">
        <v>213</v>
      </c>
      <c r="H15" s="168">
        <v>25</v>
      </c>
      <c r="I15" s="456">
        <v>25</v>
      </c>
      <c r="J15" s="97"/>
    </row>
    <row r="16" spans="2:10" ht="22.5" customHeight="1" thickBot="1" x14ac:dyDescent="0.25">
      <c r="B16" s="40" t="s">
        <v>207</v>
      </c>
      <c r="C16" s="265" t="s">
        <v>415</v>
      </c>
      <c r="D16" s="265">
        <v>24</v>
      </c>
      <c r="E16" s="265">
        <v>24</v>
      </c>
      <c r="F16" s="265">
        <v>24</v>
      </c>
      <c r="G16" s="265">
        <v>24</v>
      </c>
      <c r="H16" s="265">
        <v>24</v>
      </c>
      <c r="I16" s="457">
        <v>24</v>
      </c>
    </row>
    <row r="17" spans="2:14" ht="22.5" customHeight="1" thickBot="1" x14ac:dyDescent="0.25">
      <c r="B17" s="730" t="s">
        <v>208</v>
      </c>
      <c r="C17" s="787"/>
      <c r="D17" s="43" t="s">
        <v>213</v>
      </c>
      <c r="E17" s="43" t="s">
        <v>213</v>
      </c>
      <c r="F17" s="43" t="s">
        <v>213</v>
      </c>
      <c r="G17" s="166" t="s">
        <v>213</v>
      </c>
      <c r="H17" s="43">
        <f>H15/H16</f>
        <v>1.0416666666666667</v>
      </c>
      <c r="I17" s="458">
        <f>I15/I16</f>
        <v>1.0416666666666667</v>
      </c>
    </row>
    <row r="19" spans="2:14" ht="22.5" customHeight="1" x14ac:dyDescent="0.2">
      <c r="B19" s="567" t="s">
        <v>646</v>
      </c>
      <c r="C19" s="568"/>
      <c r="D19" s="568"/>
      <c r="E19" s="569"/>
      <c r="F19" s="8"/>
      <c r="K19" s="567" t="s">
        <v>210</v>
      </c>
      <c r="L19" s="568"/>
      <c r="M19" s="568"/>
      <c r="N19" s="569"/>
    </row>
    <row r="20" spans="2:14" ht="22.5" customHeight="1" x14ac:dyDescent="0.2">
      <c r="B20" s="8"/>
      <c r="C20" s="8"/>
      <c r="D20" s="8"/>
      <c r="E20" s="8"/>
      <c r="F20" s="8"/>
      <c r="K20" s="9"/>
      <c r="L20" s="9"/>
      <c r="M20" s="9"/>
      <c r="N20" s="9"/>
    </row>
    <row r="21" spans="2:14" ht="6" customHeight="1" x14ac:dyDescent="0.2">
      <c r="B21" s="8"/>
      <c r="C21" s="8"/>
      <c r="D21" s="8"/>
      <c r="E21" s="8"/>
      <c r="F21" s="8"/>
      <c r="K21" s="709" t="s">
        <v>155</v>
      </c>
      <c r="L21" s="571"/>
      <c r="M21" s="571"/>
      <c r="N21" s="572"/>
    </row>
    <row r="22" spans="2:14" ht="19.5" customHeight="1" x14ac:dyDescent="0.2">
      <c r="B22" s="8"/>
      <c r="C22" s="8"/>
      <c r="D22" s="8"/>
      <c r="E22" s="8"/>
      <c r="F22" s="8"/>
      <c r="K22" s="573"/>
      <c r="L22" s="574"/>
      <c r="M22" s="574"/>
      <c r="N22" s="575"/>
    </row>
    <row r="23" spans="2:14" ht="19.5" customHeight="1" x14ac:dyDescent="0.2">
      <c r="B23" s="8"/>
      <c r="C23" s="8"/>
      <c r="D23" s="8"/>
      <c r="E23" s="8"/>
      <c r="F23" s="8"/>
      <c r="K23" s="573"/>
      <c r="L23" s="574"/>
      <c r="M23" s="574"/>
      <c r="N23" s="575"/>
    </row>
    <row r="24" spans="2:14" ht="19.5" customHeight="1" x14ac:dyDescent="0.2">
      <c r="B24" s="8"/>
      <c r="C24" s="8"/>
      <c r="D24" s="8"/>
      <c r="E24" s="8"/>
      <c r="F24" s="8"/>
      <c r="K24" s="573"/>
      <c r="L24" s="574"/>
      <c r="M24" s="574"/>
      <c r="N24" s="575"/>
    </row>
    <row r="25" spans="2:14" ht="19.5" customHeight="1" x14ac:dyDescent="0.2">
      <c r="B25" s="8"/>
      <c r="C25" s="8"/>
      <c r="D25" s="8"/>
      <c r="E25" s="8"/>
      <c r="F25" s="8"/>
      <c r="K25" s="573"/>
      <c r="L25" s="574"/>
      <c r="M25" s="574"/>
      <c r="N25" s="575"/>
    </row>
    <row r="26" spans="2:14" ht="19.5" customHeight="1" x14ac:dyDescent="0.2">
      <c r="B26" s="8"/>
      <c r="C26" s="8"/>
      <c r="D26" s="8"/>
      <c r="E26" s="8"/>
      <c r="F26" s="8"/>
      <c r="K26" s="573"/>
      <c r="L26" s="574"/>
      <c r="M26" s="574"/>
      <c r="N26" s="575"/>
    </row>
    <row r="27" spans="2:14" ht="19.5" customHeight="1" x14ac:dyDescent="0.2">
      <c r="B27" s="8"/>
      <c r="C27" s="8"/>
      <c r="D27" s="8"/>
      <c r="E27" s="8"/>
      <c r="F27" s="8"/>
      <c r="K27" s="573"/>
      <c r="L27" s="574"/>
      <c r="M27" s="574"/>
      <c r="N27" s="575"/>
    </row>
    <row r="28" spans="2:14" ht="19.5" customHeight="1" x14ac:dyDescent="0.2">
      <c r="B28" s="8"/>
      <c r="C28" s="8"/>
      <c r="D28" s="8"/>
      <c r="E28" s="8"/>
      <c r="F28" s="8"/>
      <c r="K28" s="573"/>
      <c r="L28" s="574"/>
      <c r="M28" s="574"/>
      <c r="N28" s="575"/>
    </row>
    <row r="29" spans="2:14" ht="19.5" customHeight="1" x14ac:dyDescent="0.2">
      <c r="B29" s="8"/>
      <c r="C29" s="8"/>
      <c r="D29" s="8"/>
      <c r="E29" s="8"/>
      <c r="F29" s="8"/>
      <c r="K29" s="576"/>
      <c r="L29" s="577"/>
      <c r="M29" s="577"/>
      <c r="N29" s="578"/>
    </row>
    <row r="30" spans="2:14" ht="19.5" customHeight="1" x14ac:dyDescent="0.2"/>
    <row r="31" spans="2:14" ht="19.5" customHeight="1" x14ac:dyDescent="0.2">
      <c r="H31" s="559" t="s">
        <v>155</v>
      </c>
      <c r="I31" s="560"/>
      <c r="J31" s="560"/>
    </row>
  </sheetData>
  <sheetProtection formatCells="0" formatColumns="0" formatRows="0" insertColumns="0" insertRows="0" insertHyperlinks="0" deleteColumns="0" deleteRows="0" pivotTables="0"/>
  <mergeCells count="31">
    <mergeCell ref="H31:J31"/>
    <mergeCell ref="F8:G8"/>
    <mergeCell ref="B17:C17"/>
    <mergeCell ref="B19:E19"/>
    <mergeCell ref="K19:N19"/>
    <mergeCell ref="K21:N29"/>
    <mergeCell ref="B9:C9"/>
    <mergeCell ref="D9:J9"/>
    <mergeCell ref="B11:J11"/>
    <mergeCell ref="B15:C15"/>
    <mergeCell ref="B2:D2"/>
    <mergeCell ref="E2:J2"/>
    <mergeCell ref="B4:C4"/>
    <mergeCell ref="D4:E4"/>
    <mergeCell ref="F4:G4"/>
    <mergeCell ref="H4:J4"/>
    <mergeCell ref="B5:C5"/>
    <mergeCell ref="D5:E5"/>
    <mergeCell ref="F5:G5"/>
    <mergeCell ref="H5:J5"/>
    <mergeCell ref="B8:C8"/>
    <mergeCell ref="D8:E8"/>
    <mergeCell ref="H8:J8"/>
    <mergeCell ref="H7:J7"/>
    <mergeCell ref="H6:J6"/>
    <mergeCell ref="F7:G7"/>
    <mergeCell ref="F6:G6"/>
    <mergeCell ref="D7:E7"/>
    <mergeCell ref="D6:E6"/>
    <mergeCell ref="B7:C7"/>
    <mergeCell ref="B6:C6"/>
  </mergeCells>
  <phoneticPr fontId="25" type="noConversion"/>
  <conditionalFormatting sqref="D15:H15">
    <cfRule type="cellIs" dxfId="16" priority="1" operator="lessThan">
      <formula>0.55</formula>
    </cfRule>
  </conditionalFormatting>
  <pageMargins left="0.7" right="0.7" top="0.75" bottom="0.75" header="0" footer="0"/>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E5E8F-2DE0-408B-9F71-6DAF5E57C987}">
  <sheetPr>
    <tabColor theme="9" tint="-0.499984740745262"/>
    <pageSetUpPr fitToPage="1"/>
  </sheetPr>
  <dimension ref="B2:J32"/>
  <sheetViews>
    <sheetView showGridLines="0" workbookViewId="0">
      <selection activeCell="H4" sqref="H4:J4"/>
    </sheetView>
  </sheetViews>
  <sheetFormatPr defaultColWidth="12.5703125" defaultRowHeight="15.75" customHeight="1" x14ac:dyDescent="0.2"/>
  <cols>
    <col min="1" max="1" width="3.42578125" customWidth="1"/>
    <col min="2" max="2" width="14.140625" customWidth="1"/>
    <col min="3" max="3" width="18" customWidth="1"/>
    <col min="4" max="4" width="17.28515625" bestFit="1" customWidth="1"/>
    <col min="5" max="6" width="12.5703125" customWidth="1"/>
    <col min="7" max="7" width="21" customWidth="1"/>
    <col min="8" max="9" width="12.5703125" customWidth="1"/>
    <col min="10" max="10" width="50"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s="543" customFormat="1" ht="39" customHeight="1" x14ac:dyDescent="0.2">
      <c r="B4" s="788" t="s">
        <v>193</v>
      </c>
      <c r="C4" s="885"/>
      <c r="D4" s="800" t="str">
        <f>Índex!B63</f>
        <v xml:space="preserve"> PS4.04_Ind01. </v>
      </c>
      <c r="E4" s="882"/>
      <c r="F4" s="788" t="s">
        <v>194</v>
      </c>
      <c r="G4" s="885"/>
      <c r="H4" s="800" t="str">
        <f>Índex!C63</f>
        <v xml:space="preserve"> Percentatge del pressupost de funcionament destinat a l'adquisició, renovació d’equipament dels laboratoris i altres necessitats docents. </v>
      </c>
      <c r="I4" s="882"/>
      <c r="J4" s="882"/>
    </row>
    <row r="5" spans="2:10" s="543" customFormat="1" ht="39" customHeight="1" x14ac:dyDescent="0.2">
      <c r="B5" s="788" t="s">
        <v>195</v>
      </c>
      <c r="C5" s="885"/>
      <c r="D5" s="1035">
        <f>Índex!F63</f>
        <v>0.1</v>
      </c>
      <c r="E5" s="1036"/>
      <c r="F5" s="905" t="s">
        <v>196</v>
      </c>
      <c r="G5" s="885"/>
      <c r="H5" s="881" t="s">
        <v>216</v>
      </c>
      <c r="I5" s="882"/>
      <c r="J5" s="882"/>
    </row>
    <row r="6" spans="2:10" s="543" customFormat="1" ht="39" customHeight="1" x14ac:dyDescent="0.2">
      <c r="B6" s="788" t="s">
        <v>471</v>
      </c>
      <c r="C6" s="788"/>
      <c r="D6" s="1035" t="str">
        <f>Índex!H63</f>
        <v>Objectiu de Qualitat. Organització i gestió de recursos</v>
      </c>
      <c r="E6" s="1035"/>
      <c r="F6" s="905" t="s">
        <v>462</v>
      </c>
      <c r="G6" s="905"/>
      <c r="H6" s="881"/>
      <c r="I6" s="881"/>
      <c r="J6" s="881"/>
    </row>
    <row r="7" spans="2:10" s="543" customFormat="1" ht="39" customHeight="1" x14ac:dyDescent="0.2">
      <c r="B7" s="788" t="s">
        <v>463</v>
      </c>
      <c r="C7" s="788"/>
      <c r="D7" s="1035"/>
      <c r="E7" s="1035"/>
      <c r="F7" s="905" t="s">
        <v>464</v>
      </c>
      <c r="G7" s="905"/>
      <c r="H7" s="881" t="s">
        <v>198</v>
      </c>
      <c r="I7" s="881"/>
      <c r="J7" s="881"/>
    </row>
    <row r="8" spans="2:10" s="543" customFormat="1" ht="39" customHeight="1" x14ac:dyDescent="0.2">
      <c r="B8" s="788" t="s">
        <v>465</v>
      </c>
      <c r="C8" s="788"/>
      <c r="D8" s="1034" t="str">
        <f>Índex!D63</f>
        <v>Vicedegà d'Economia i d’Afers Acadèmics de Postgrau</v>
      </c>
      <c r="E8" s="1034"/>
      <c r="F8" s="905" t="s">
        <v>637</v>
      </c>
      <c r="G8" s="905"/>
      <c r="H8" s="882" t="str">
        <f>Índex!$E63</f>
        <v>Gestora Econòmica</v>
      </c>
      <c r="I8" s="882"/>
      <c r="J8" s="882"/>
    </row>
    <row r="9" spans="2:10" s="543" customFormat="1" ht="59.25" customHeight="1" x14ac:dyDescent="0.2">
      <c r="B9" s="788" t="s">
        <v>647</v>
      </c>
      <c r="C9" s="885"/>
      <c r="D9" s="800" t="str">
        <f>Índex!G63</f>
        <v xml:space="preserve"> PS4.04 Gestió d’Espais i Equipaments</v>
      </c>
      <c r="E9" s="882"/>
      <c r="F9" s="1037" t="s">
        <v>467</v>
      </c>
      <c r="G9" s="1037"/>
      <c r="H9" s="990" t="s">
        <v>644</v>
      </c>
      <c r="I9" s="1034"/>
      <c r="J9" s="1034"/>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13"/>
      <c r="C12" s="12"/>
      <c r="D12" s="12"/>
      <c r="E12" s="12"/>
      <c r="F12" s="12"/>
      <c r="G12" s="12"/>
      <c r="H12" s="12"/>
      <c r="I12" s="12"/>
      <c r="J12" s="12"/>
    </row>
    <row r="13" spans="2:10" ht="22.5" customHeight="1" x14ac:dyDescent="0.2">
      <c r="B13" s="78"/>
      <c r="C13" s="78">
        <v>2019</v>
      </c>
      <c r="D13" s="78">
        <v>2020</v>
      </c>
      <c r="E13" s="78">
        <v>2021</v>
      </c>
      <c r="F13" s="78">
        <v>2022</v>
      </c>
      <c r="G13" s="78">
        <v>2023</v>
      </c>
      <c r="H13" s="78">
        <v>2024</v>
      </c>
      <c r="I13" s="12"/>
      <c r="J13" s="12"/>
    </row>
    <row r="14" spans="2:10" ht="22.5" customHeight="1" x14ac:dyDescent="0.2">
      <c r="B14" s="28" t="s">
        <v>416</v>
      </c>
      <c r="C14" s="205">
        <v>36400.76</v>
      </c>
      <c r="D14" s="205">
        <v>73745.460000000006</v>
      </c>
      <c r="E14" s="205">
        <v>39366.949999999997</v>
      </c>
      <c r="F14" s="28" t="s">
        <v>417</v>
      </c>
      <c r="G14" s="275">
        <v>27419.56</v>
      </c>
      <c r="H14" s="532">
        <v>30478.6</v>
      </c>
      <c r="I14" s="12"/>
      <c r="J14" s="12"/>
    </row>
    <row r="15" spans="2:10" ht="22.5" customHeight="1" x14ac:dyDescent="0.2">
      <c r="B15" s="28" t="s">
        <v>418</v>
      </c>
      <c r="C15" s="205">
        <v>199317.9</v>
      </c>
      <c r="D15" s="205">
        <v>198930.4</v>
      </c>
      <c r="E15" s="205">
        <v>201792.9</v>
      </c>
      <c r="F15" s="205">
        <v>201792.9</v>
      </c>
      <c r="G15" s="205">
        <v>221960.03</v>
      </c>
      <c r="H15" s="532">
        <v>221959.13</v>
      </c>
      <c r="I15" s="12"/>
      <c r="J15" s="12"/>
    </row>
    <row r="16" spans="2:10" ht="22.5" customHeight="1" x14ac:dyDescent="0.2">
      <c r="B16" s="28" t="s">
        <v>284</v>
      </c>
      <c r="C16" s="52">
        <v>0.18</v>
      </c>
      <c r="D16" s="52">
        <v>0.37</v>
      </c>
      <c r="E16" s="36">
        <v>0.19500000000000001</v>
      </c>
      <c r="F16" s="52">
        <v>0.19</v>
      </c>
      <c r="G16" s="52">
        <v>0.12</v>
      </c>
      <c r="H16" s="52">
        <v>0.14000000000000001</v>
      </c>
      <c r="I16" s="12"/>
      <c r="J16" s="12"/>
    </row>
    <row r="17" spans="2:10" ht="22.5" customHeight="1" x14ac:dyDescent="0.2">
      <c r="B17" s="146" t="s">
        <v>419</v>
      </c>
      <c r="C17" s="57">
        <v>0.1</v>
      </c>
      <c r="D17" s="57">
        <v>0.1</v>
      </c>
      <c r="E17" s="57">
        <v>0.1</v>
      </c>
      <c r="F17" s="57">
        <v>0.1</v>
      </c>
      <c r="G17" s="57">
        <v>0.1</v>
      </c>
      <c r="H17" s="52">
        <v>0.1</v>
      </c>
    </row>
    <row r="18" spans="2:10" ht="22.5" customHeight="1" x14ac:dyDescent="0.2">
      <c r="B18" s="171" t="s">
        <v>260</v>
      </c>
      <c r="C18" s="172">
        <f>COUNT(C16/C17)</f>
        <v>1</v>
      </c>
      <c r="D18" s="172">
        <f>COUNT(D16/D17)</f>
        <v>1</v>
      </c>
      <c r="E18" s="172">
        <f>COUNT(E16/E17)</f>
        <v>1</v>
      </c>
      <c r="F18" s="172">
        <f>COUNT(F16/F17)</f>
        <v>1</v>
      </c>
      <c r="G18" s="172">
        <f>COUNT(G16/G17)</f>
        <v>1</v>
      </c>
      <c r="H18" s="172">
        <v>1</v>
      </c>
    </row>
    <row r="22" spans="2:10" ht="19.5" customHeight="1" x14ac:dyDescent="0.2">
      <c r="B22" s="567" t="s">
        <v>469</v>
      </c>
      <c r="C22" s="568"/>
      <c r="D22" s="568"/>
      <c r="E22" s="569"/>
      <c r="G22" s="773" t="s">
        <v>470</v>
      </c>
      <c r="H22" s="568"/>
      <c r="I22" s="568"/>
      <c r="J22" s="569"/>
    </row>
    <row r="23" spans="2:10" ht="19.5" customHeight="1" x14ac:dyDescent="0.2">
      <c r="G23" s="9"/>
      <c r="H23" s="9"/>
      <c r="I23" s="9"/>
      <c r="J23" s="9"/>
    </row>
    <row r="24" spans="2:10" ht="19.5" customHeight="1" x14ac:dyDescent="0.2">
      <c r="G24" s="570"/>
      <c r="H24" s="571"/>
      <c r="I24" s="571"/>
      <c r="J24" s="572"/>
    </row>
    <row r="25" spans="2:10" ht="19.5" customHeight="1" x14ac:dyDescent="0.2">
      <c r="G25" s="573"/>
      <c r="H25" s="574"/>
      <c r="I25" s="574"/>
      <c r="J25" s="575"/>
    </row>
    <row r="26" spans="2:10" ht="19.5" customHeight="1" x14ac:dyDescent="0.2">
      <c r="G26" s="573"/>
      <c r="H26" s="574"/>
      <c r="I26" s="574"/>
      <c r="J26" s="575"/>
    </row>
    <row r="27" spans="2:10" ht="19.5" customHeight="1" x14ac:dyDescent="0.2">
      <c r="G27" s="573"/>
      <c r="H27" s="574"/>
      <c r="I27" s="574"/>
      <c r="J27" s="575"/>
    </row>
    <row r="28" spans="2:10" ht="19.5" customHeight="1" x14ac:dyDescent="0.2">
      <c r="G28" s="573"/>
      <c r="H28" s="574"/>
      <c r="I28" s="574"/>
      <c r="J28" s="575"/>
    </row>
    <row r="29" spans="2:10" ht="19.5" customHeight="1" x14ac:dyDescent="0.2">
      <c r="G29" s="573"/>
      <c r="H29" s="574"/>
      <c r="I29" s="574"/>
      <c r="J29" s="575"/>
    </row>
    <row r="30" spans="2:10" ht="19.5" customHeight="1" x14ac:dyDescent="0.2">
      <c r="G30" s="573"/>
      <c r="H30" s="574"/>
      <c r="I30" s="574"/>
      <c r="J30" s="575"/>
    </row>
    <row r="31" spans="2:10" ht="19.5" customHeight="1" x14ac:dyDescent="0.2">
      <c r="G31" s="573"/>
      <c r="H31" s="574"/>
      <c r="I31" s="574"/>
      <c r="J31" s="575"/>
    </row>
    <row r="32" spans="2:10" ht="19.5" customHeight="1" x14ac:dyDescent="0.2">
      <c r="G32" s="576"/>
      <c r="H32" s="577"/>
      <c r="I32" s="577"/>
      <c r="J32" s="578"/>
    </row>
  </sheetData>
  <sheetProtection formatCells="0" formatColumns="0" formatRows="0" insertColumns="0" insertRows="0" insertHyperlinks="0" deleteColumns="0" deleteRows="0" pivotTables="0"/>
  <mergeCells count="30">
    <mergeCell ref="B2:D2"/>
    <mergeCell ref="E2:J2"/>
    <mergeCell ref="B4:C4"/>
    <mergeCell ref="D4:E4"/>
    <mergeCell ref="F4:G4"/>
    <mergeCell ref="H4:J4"/>
    <mergeCell ref="B11:J11"/>
    <mergeCell ref="G22:J22"/>
    <mergeCell ref="G24:J32"/>
    <mergeCell ref="B22:E22"/>
    <mergeCell ref="B5:C5"/>
    <mergeCell ref="D5:E5"/>
    <mergeCell ref="F5:G5"/>
    <mergeCell ref="H5:J5"/>
    <mergeCell ref="B9:C9"/>
    <mergeCell ref="D9:E9"/>
    <mergeCell ref="F9:G9"/>
    <mergeCell ref="F8:G8"/>
    <mergeCell ref="D6:E6"/>
    <mergeCell ref="H8:J8"/>
    <mergeCell ref="H7:J7"/>
    <mergeCell ref="H6:J6"/>
    <mergeCell ref="H9:J9"/>
    <mergeCell ref="B7:C7"/>
    <mergeCell ref="B6:C6"/>
    <mergeCell ref="B8:C8"/>
    <mergeCell ref="D8:E8"/>
    <mergeCell ref="F7:G7"/>
    <mergeCell ref="F6:G6"/>
    <mergeCell ref="D7:E7"/>
  </mergeCells>
  <pageMargins left="0.7" right="0.7" top="0.75" bottom="0.75" header="0" footer="0"/>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9D8D8-5C98-4FA5-8A4F-178456AE7D67}">
  <sheetPr>
    <tabColor theme="9" tint="-0.499984740745262"/>
    <pageSetUpPr fitToPage="1"/>
  </sheetPr>
  <dimension ref="B2:J30"/>
  <sheetViews>
    <sheetView showGridLines="0" workbookViewId="0">
      <selection activeCell="H4" sqref="H4:J4"/>
    </sheetView>
  </sheetViews>
  <sheetFormatPr defaultColWidth="12.5703125" defaultRowHeight="15.75" customHeight="1" x14ac:dyDescent="0.2"/>
  <cols>
    <col min="1" max="1" width="3.42578125" customWidth="1"/>
    <col min="2" max="2" width="14.140625" customWidth="1"/>
    <col min="3" max="3" width="18.140625" customWidth="1"/>
    <col min="4" max="4" width="17.28515625" bestFit="1" customWidth="1"/>
    <col min="5" max="5" width="19.5703125" customWidth="1"/>
    <col min="6" max="6" width="12.5703125" customWidth="1"/>
    <col min="7" max="7" width="20.140625" customWidth="1"/>
    <col min="8" max="9" width="12.5703125" customWidth="1"/>
    <col min="10" max="10" width="36.2851562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991" t="s">
        <v>193</v>
      </c>
      <c r="C4" s="998"/>
      <c r="D4" s="1001" t="str">
        <f>Índex!B65</f>
        <v xml:space="preserve">PS4.04_Ind02. </v>
      </c>
      <c r="E4" s="992"/>
      <c r="F4" s="991" t="s">
        <v>194</v>
      </c>
      <c r="G4" s="998"/>
      <c r="H4" s="1001" t="str">
        <f>Índex!C65</f>
        <v>Import de la despesa econòmica que s’ha invertit a l’Edifici C en concepte de manteniment correctiu i preventiu (funcionament)</v>
      </c>
      <c r="I4" s="992"/>
      <c r="J4" s="992"/>
    </row>
    <row r="5" spans="2:10" ht="22.5" customHeight="1" x14ac:dyDescent="0.2">
      <c r="B5" s="991" t="s">
        <v>195</v>
      </c>
      <c r="C5" s="998"/>
      <c r="D5" s="1040" t="str">
        <f>Índex!F65</f>
        <v>Destinar el 100% dels recursos disponibles</v>
      </c>
      <c r="E5" s="1041"/>
      <c r="F5" s="1000" t="s">
        <v>196</v>
      </c>
      <c r="G5" s="998"/>
      <c r="H5" s="1001" t="s">
        <v>216</v>
      </c>
      <c r="I5" s="992"/>
      <c r="J5" s="992"/>
    </row>
    <row r="6" spans="2:10" ht="22.5" customHeight="1" x14ac:dyDescent="0.2">
      <c r="B6" s="549" t="s">
        <v>636</v>
      </c>
      <c r="C6" s="550"/>
      <c r="D6" s="1040" t="str">
        <f>Índex!H65</f>
        <v>Objectiu de Qualitat. Organització i gestió de recursos</v>
      </c>
      <c r="E6" s="1041"/>
      <c r="F6" s="1000" t="s">
        <v>634</v>
      </c>
      <c r="G6" s="1000"/>
      <c r="H6" s="993"/>
      <c r="I6" s="994"/>
      <c r="J6" s="995"/>
    </row>
    <row r="7" spans="2:10" ht="22.5" customHeight="1" x14ac:dyDescent="0.2">
      <c r="B7" s="991" t="s">
        <v>463</v>
      </c>
      <c r="C7" s="991"/>
      <c r="D7" s="1042"/>
      <c r="E7" s="1043"/>
      <c r="F7" s="991" t="s">
        <v>464</v>
      </c>
      <c r="G7" s="998"/>
      <c r="H7" s="993" t="s">
        <v>198</v>
      </c>
      <c r="I7" s="994"/>
      <c r="J7" s="995"/>
    </row>
    <row r="8" spans="2:10" ht="22.5" customHeight="1" x14ac:dyDescent="0.2">
      <c r="B8" s="1013" t="s">
        <v>465</v>
      </c>
      <c r="C8" s="1014"/>
      <c r="D8" s="1042" t="str">
        <f>Índex!D65</f>
        <v>Vicedegà d'Economia i d’Afers Acadèmics de Postgrau</v>
      </c>
      <c r="E8" s="1043"/>
      <c r="F8" s="1038" t="s">
        <v>637</v>
      </c>
      <c r="G8" s="1039"/>
      <c r="H8" s="1007" t="str">
        <f>Índex!$E65</f>
        <v>Administradora de Centre</v>
      </c>
      <c r="I8" s="1008"/>
      <c r="J8" s="1009"/>
    </row>
    <row r="9" spans="2:10" ht="60.75" customHeight="1" x14ac:dyDescent="0.2">
      <c r="B9" s="991" t="s">
        <v>461</v>
      </c>
      <c r="C9" s="998"/>
      <c r="D9" s="1001" t="str">
        <f>Índex!G65</f>
        <v xml:space="preserve"> PS4.04 Gestió d’Espais i Equipaments</v>
      </c>
      <c r="E9" s="992"/>
      <c r="F9" s="1038" t="s">
        <v>467</v>
      </c>
      <c r="G9" s="1039"/>
      <c r="H9" s="743" t="s">
        <v>644</v>
      </c>
      <c r="I9" s="992"/>
      <c r="J9" s="992"/>
    </row>
    <row r="10" spans="2:10" ht="7.5" customHeight="1" x14ac:dyDescent="0.2"/>
    <row r="11" spans="2:10" ht="22.5" customHeight="1" x14ac:dyDescent="0.2">
      <c r="B11" s="1033" t="s">
        <v>468</v>
      </c>
      <c r="C11" s="568"/>
      <c r="D11" s="568"/>
      <c r="E11" s="568"/>
      <c r="F11" s="568"/>
      <c r="G11" s="568"/>
      <c r="H11" s="568"/>
      <c r="I11" s="568"/>
      <c r="J11" s="569"/>
    </row>
    <row r="12" spans="2:10" ht="22.5" customHeight="1" thickBot="1" x14ac:dyDescent="0.25">
      <c r="B12" s="13"/>
      <c r="C12" s="12"/>
      <c r="D12" s="12"/>
      <c r="E12" s="12"/>
      <c r="F12" s="12"/>
      <c r="G12" s="12"/>
      <c r="H12" s="12"/>
      <c r="I12" s="12"/>
      <c r="J12" s="12"/>
    </row>
    <row r="13" spans="2:10" ht="22.5" customHeight="1" thickBot="1" x14ac:dyDescent="0.25">
      <c r="B13" s="139"/>
      <c r="C13" s="123">
        <v>2019</v>
      </c>
      <c r="D13" s="123">
        <v>2020</v>
      </c>
      <c r="E13" s="123">
        <v>2021</v>
      </c>
      <c r="F13" s="123">
        <v>2022</v>
      </c>
      <c r="G13" s="123">
        <v>2023</v>
      </c>
      <c r="H13" s="461">
        <v>2024</v>
      </c>
      <c r="I13" s="12"/>
      <c r="J13" s="12"/>
    </row>
    <row r="14" spans="2:10" ht="22.5" customHeight="1" thickBot="1" x14ac:dyDescent="0.25">
      <c r="B14" s="124" t="s">
        <v>416</v>
      </c>
      <c r="C14" s="226">
        <v>45989</v>
      </c>
      <c r="D14" s="226">
        <v>45989</v>
      </c>
      <c r="E14" s="226">
        <v>45989</v>
      </c>
      <c r="F14" s="226">
        <v>45989</v>
      </c>
      <c r="G14" s="226">
        <v>45989</v>
      </c>
      <c r="H14" s="462">
        <v>68984</v>
      </c>
      <c r="I14" s="12"/>
      <c r="J14" s="12"/>
    </row>
    <row r="15" spans="2:10" ht="22.5" customHeight="1" thickBot="1" x14ac:dyDescent="0.25">
      <c r="B15" s="140" t="s">
        <v>420</v>
      </c>
      <c r="C15" s="276">
        <v>1</v>
      </c>
      <c r="D15" s="227">
        <v>0.95550000000000002</v>
      </c>
      <c r="E15" s="276">
        <v>1</v>
      </c>
      <c r="F15" s="276">
        <v>1</v>
      </c>
      <c r="G15" s="276">
        <v>1</v>
      </c>
      <c r="H15" s="463">
        <v>1</v>
      </c>
      <c r="I15" s="12"/>
      <c r="J15" s="12"/>
    </row>
    <row r="16" spans="2:10" ht="23.25" customHeight="1" x14ac:dyDescent="0.2">
      <c r="B16" s="228" t="s">
        <v>369</v>
      </c>
      <c r="C16" s="229">
        <v>1</v>
      </c>
      <c r="D16" s="229">
        <v>1</v>
      </c>
      <c r="E16" s="229">
        <v>1</v>
      </c>
      <c r="F16" s="229">
        <v>1</v>
      </c>
      <c r="G16" s="229">
        <v>1</v>
      </c>
      <c r="H16" s="229">
        <v>1</v>
      </c>
    </row>
    <row r="17" spans="2:10" ht="23.25" customHeight="1" x14ac:dyDescent="0.2">
      <c r="B17" s="228" t="s">
        <v>260</v>
      </c>
      <c r="C17" s="229">
        <v>1</v>
      </c>
      <c r="D17" s="229">
        <v>1</v>
      </c>
      <c r="E17" s="229">
        <v>1</v>
      </c>
      <c r="F17" s="229">
        <v>1</v>
      </c>
      <c r="G17" s="229">
        <v>1</v>
      </c>
      <c r="H17" s="229">
        <v>1</v>
      </c>
    </row>
    <row r="20" spans="2:10" ht="19.5" customHeight="1" x14ac:dyDescent="0.2">
      <c r="B20" s="567" t="s">
        <v>469</v>
      </c>
      <c r="C20" s="568"/>
      <c r="D20" s="568"/>
      <c r="E20" s="569"/>
      <c r="G20" s="773" t="s">
        <v>470</v>
      </c>
      <c r="H20" s="568"/>
      <c r="I20" s="568"/>
      <c r="J20" s="569"/>
    </row>
    <row r="21" spans="2:10" ht="19.5" customHeight="1" x14ac:dyDescent="0.2">
      <c r="G21" s="9"/>
      <c r="H21" s="9"/>
      <c r="I21" s="9"/>
      <c r="J21" s="9"/>
    </row>
    <row r="22" spans="2:10" ht="19.5" customHeight="1" x14ac:dyDescent="0.2">
      <c r="G22" s="709"/>
      <c r="H22" s="571"/>
      <c r="I22" s="571"/>
      <c r="J22" s="572"/>
    </row>
    <row r="23" spans="2:10" ht="19.5" customHeight="1" x14ac:dyDescent="0.2">
      <c r="G23" s="573"/>
      <c r="H23" s="574"/>
      <c r="I23" s="574"/>
      <c r="J23" s="575"/>
    </row>
    <row r="24" spans="2:10" ht="19.5" customHeight="1" x14ac:dyDescent="0.2">
      <c r="G24" s="573"/>
      <c r="H24" s="574"/>
      <c r="I24" s="574"/>
      <c r="J24" s="575"/>
    </row>
    <row r="25" spans="2:10" ht="19.5" customHeight="1" x14ac:dyDescent="0.2">
      <c r="G25" s="573"/>
      <c r="H25" s="574"/>
      <c r="I25" s="574"/>
      <c r="J25" s="575"/>
    </row>
    <row r="26" spans="2:10" ht="19.5" customHeight="1" x14ac:dyDescent="0.2">
      <c r="G26" s="573"/>
      <c r="H26" s="574"/>
      <c r="I26" s="574"/>
      <c r="J26" s="575"/>
    </row>
    <row r="27" spans="2:10" ht="19.5" customHeight="1" x14ac:dyDescent="0.2">
      <c r="G27" s="573"/>
      <c r="H27" s="574"/>
      <c r="I27" s="574"/>
      <c r="J27" s="575"/>
    </row>
    <row r="28" spans="2:10" ht="19.5" customHeight="1" x14ac:dyDescent="0.2">
      <c r="G28" s="573"/>
      <c r="H28" s="574"/>
      <c r="I28" s="574"/>
      <c r="J28" s="575"/>
    </row>
    <row r="29" spans="2:10" ht="19.5" customHeight="1" x14ac:dyDescent="0.2">
      <c r="G29" s="573"/>
      <c r="H29" s="574"/>
      <c r="I29" s="574"/>
      <c r="J29" s="575"/>
    </row>
    <row r="30" spans="2:10" ht="19.5" customHeight="1" x14ac:dyDescent="0.2">
      <c r="G30" s="576"/>
      <c r="H30" s="577"/>
      <c r="I30" s="577"/>
      <c r="J30" s="578"/>
    </row>
  </sheetData>
  <sheetProtection formatCells="0" formatColumns="0" formatRows="0" insertColumns="0" insertRows="0" insertHyperlinks="0" deleteColumns="0" deleteRows="0" pivotTables="0"/>
  <mergeCells count="29">
    <mergeCell ref="B2:D2"/>
    <mergeCell ref="E2:J2"/>
    <mergeCell ref="B4:C4"/>
    <mergeCell ref="D4:E4"/>
    <mergeCell ref="F4:G4"/>
    <mergeCell ref="H4:J4"/>
    <mergeCell ref="G22:J30"/>
    <mergeCell ref="B5:C5"/>
    <mergeCell ref="D5:E5"/>
    <mergeCell ref="F5:G5"/>
    <mergeCell ref="H5:J5"/>
    <mergeCell ref="B9:C9"/>
    <mergeCell ref="B11:J11"/>
    <mergeCell ref="B20:E20"/>
    <mergeCell ref="G20:J20"/>
    <mergeCell ref="F6:G6"/>
    <mergeCell ref="D6:E6"/>
    <mergeCell ref="B7:C7"/>
    <mergeCell ref="B8:C8"/>
    <mergeCell ref="D8:E8"/>
    <mergeCell ref="D7:E7"/>
    <mergeCell ref="F8:G8"/>
    <mergeCell ref="F7:G7"/>
    <mergeCell ref="H7:J7"/>
    <mergeCell ref="H6:J6"/>
    <mergeCell ref="H8:J8"/>
    <mergeCell ref="D9:E9"/>
    <mergeCell ref="F9:G9"/>
    <mergeCell ref="H9:J9"/>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F2D86-61E5-43D3-ACA2-77245E1E016C}">
  <sheetPr>
    <tabColor theme="9" tint="-0.499984740745262"/>
    <pageSetUpPr fitToPage="1"/>
  </sheetPr>
  <dimension ref="B2:N30"/>
  <sheetViews>
    <sheetView showGridLines="0" workbookViewId="0">
      <selection activeCell="D6" sqref="D6:E6"/>
    </sheetView>
  </sheetViews>
  <sheetFormatPr defaultColWidth="12.5703125" defaultRowHeight="15.75" customHeight="1" x14ac:dyDescent="0.2"/>
  <cols>
    <col min="1" max="1" width="3.42578125" customWidth="1"/>
    <col min="2" max="2" width="14.140625" customWidth="1"/>
    <col min="3" max="3" width="21.85546875" customWidth="1"/>
    <col min="4" max="4" width="12.5703125" customWidth="1"/>
    <col min="5" max="5" width="19.5703125" customWidth="1"/>
    <col min="6" max="6" width="12.5703125" customWidth="1"/>
    <col min="7" max="7" width="17.42578125" customWidth="1"/>
    <col min="8" max="9" width="12.5703125" customWidth="1"/>
    <col min="10" max="10" width="17.42578125" bestFit="1" customWidth="1"/>
    <col min="11" max="13" width="8.85546875" customWidth="1"/>
    <col min="14" max="23" width="7.5703125" customWidth="1"/>
  </cols>
  <sheetData>
    <row r="2" spans="2:13" ht="55.5" customHeight="1" x14ac:dyDescent="0.25">
      <c r="B2" s="588"/>
      <c r="C2" s="589"/>
      <c r="D2" s="565"/>
      <c r="E2" s="590" t="s">
        <v>192</v>
      </c>
      <c r="F2" s="589"/>
      <c r="G2" s="589"/>
      <c r="H2" s="589"/>
      <c r="I2" s="589"/>
      <c r="J2" s="565"/>
      <c r="K2" s="3"/>
      <c r="L2" s="3"/>
      <c r="M2" s="3"/>
    </row>
    <row r="3" spans="2:13" ht="22.5" customHeight="1" x14ac:dyDescent="0.25">
      <c r="B3" s="177"/>
      <c r="C3" s="177"/>
      <c r="D3" s="178"/>
      <c r="E3" s="178"/>
      <c r="F3" s="178"/>
      <c r="G3" s="178"/>
      <c r="H3" s="178"/>
      <c r="I3" s="178"/>
      <c r="J3" s="175"/>
    </row>
    <row r="4" spans="2:13" ht="42.75" customHeight="1" x14ac:dyDescent="0.25">
      <c r="B4" s="561" t="s">
        <v>193</v>
      </c>
      <c r="C4" s="563"/>
      <c r="D4" s="587" t="str">
        <f>Índex!B11</f>
        <v>PE1.02_Ind01.</v>
      </c>
      <c r="E4" s="565"/>
      <c r="F4" s="561" t="s">
        <v>194</v>
      </c>
      <c r="G4" s="563"/>
      <c r="H4" s="595" t="str">
        <f>Índex!C11</f>
        <v>Percentatge de processos modificats a cada revisió</v>
      </c>
      <c r="I4" s="596"/>
      <c r="J4" s="597"/>
    </row>
    <row r="5" spans="2:13" ht="22.5" customHeight="1" x14ac:dyDescent="0.25">
      <c r="B5" s="561" t="s">
        <v>211</v>
      </c>
      <c r="C5" s="563"/>
      <c r="D5" s="598">
        <f>Índex!F11</f>
        <v>0.9</v>
      </c>
      <c r="E5" s="591"/>
      <c r="F5" s="585" t="s">
        <v>196</v>
      </c>
      <c r="G5" s="563"/>
      <c r="H5" s="595" t="s">
        <v>197</v>
      </c>
      <c r="I5" s="596"/>
      <c r="J5" s="597"/>
    </row>
    <row r="6" spans="2:13" ht="27.75" customHeight="1" x14ac:dyDescent="0.25">
      <c r="B6" s="561" t="s">
        <v>471</v>
      </c>
      <c r="C6" s="582"/>
      <c r="D6" s="598" t="str">
        <f>Índex!H11</f>
        <v>Objectiu de Qualitat. Millora Contínua</v>
      </c>
      <c r="E6" s="605"/>
      <c r="F6" s="585" t="s">
        <v>462</v>
      </c>
      <c r="G6" s="606"/>
      <c r="H6" s="296"/>
      <c r="I6" s="297"/>
      <c r="J6" s="298"/>
    </row>
    <row r="7" spans="2:13" ht="32.25" customHeight="1" x14ac:dyDescent="0.25">
      <c r="B7" s="561" t="s">
        <v>463</v>
      </c>
      <c r="C7" s="563"/>
      <c r="D7" s="587" t="s">
        <v>198</v>
      </c>
      <c r="E7" s="565"/>
      <c r="F7" s="561" t="s">
        <v>464</v>
      </c>
      <c r="G7" s="563"/>
      <c r="H7" s="619" t="s">
        <v>198</v>
      </c>
      <c r="I7" s="620"/>
      <c r="J7" s="591"/>
    </row>
    <row r="8" spans="2:13" ht="32.25" customHeight="1" x14ac:dyDescent="0.25">
      <c r="B8" s="561" t="s">
        <v>465</v>
      </c>
      <c r="C8" s="582"/>
      <c r="D8" s="587" t="str">
        <f>Índex!D11</f>
        <v xml:space="preserve"> Vicedegana d'Afers Acadèmics de Grau</v>
      </c>
      <c r="E8" s="565"/>
      <c r="F8" s="561" t="s">
        <v>472</v>
      </c>
      <c r="G8" s="563"/>
      <c r="H8" s="619" t="str">
        <f>Índex!E11</f>
        <v>Gestora de Qualitat</v>
      </c>
      <c r="I8" s="620"/>
      <c r="J8" s="591"/>
    </row>
    <row r="9" spans="2:13" ht="72.75" customHeight="1" x14ac:dyDescent="0.25">
      <c r="B9" s="561" t="s">
        <v>461</v>
      </c>
      <c r="C9" s="563"/>
      <c r="D9" s="587" t="str">
        <f>Índex!G11</f>
        <v xml:space="preserve"> PE1.02. Definició, Desplegament, Seguiment i Revisió del Sistema de Garantia Interna de Qualitat (SGIQ)</v>
      </c>
      <c r="E9" s="565"/>
      <c r="F9" s="561" t="s">
        <v>467</v>
      </c>
      <c r="G9" s="563"/>
      <c r="H9" s="619"/>
      <c r="I9" s="620"/>
      <c r="J9" s="591"/>
      <c r="K9" s="4"/>
    </row>
    <row r="10" spans="2:13" ht="7.5" customHeight="1" x14ac:dyDescent="0.25">
      <c r="B10" s="175"/>
      <c r="C10" s="175"/>
      <c r="D10" s="175"/>
      <c r="E10" s="175"/>
      <c r="F10" s="175"/>
      <c r="G10" s="175"/>
      <c r="H10" s="175"/>
      <c r="I10" s="175"/>
      <c r="J10" s="175"/>
    </row>
    <row r="11" spans="2:13" ht="22.5" customHeight="1" x14ac:dyDescent="0.25">
      <c r="B11" s="561" t="s">
        <v>468</v>
      </c>
      <c r="C11" s="562"/>
      <c r="D11" s="562"/>
      <c r="E11" s="562"/>
      <c r="F11" s="562"/>
      <c r="G11" s="562"/>
      <c r="H11" s="562"/>
      <c r="I11" s="562"/>
      <c r="J11" s="563"/>
      <c r="K11" s="5"/>
    </row>
    <row r="12" spans="2:13" ht="22.5" customHeight="1" x14ac:dyDescent="0.25">
      <c r="B12" s="179"/>
      <c r="C12" s="179"/>
      <c r="D12" s="179"/>
      <c r="E12" s="179"/>
      <c r="F12" s="179"/>
      <c r="G12" s="179"/>
      <c r="H12" s="179"/>
      <c r="I12" s="179"/>
      <c r="J12" s="179"/>
    </row>
    <row r="13" spans="2:13" ht="22.5" customHeight="1" x14ac:dyDescent="0.25">
      <c r="B13" s="179"/>
      <c r="C13" s="179"/>
      <c r="D13" s="180" t="s">
        <v>202</v>
      </c>
      <c r="E13" s="180" t="s">
        <v>203</v>
      </c>
      <c r="F13" s="180" t="s">
        <v>204</v>
      </c>
      <c r="G13" s="180" t="s">
        <v>205</v>
      </c>
      <c r="H13" s="180" t="s">
        <v>256</v>
      </c>
      <c r="I13" s="179"/>
      <c r="J13" s="179"/>
    </row>
    <row r="14" spans="2:13" ht="23.25" customHeight="1" x14ac:dyDescent="0.25">
      <c r="B14" s="564" t="s">
        <v>206</v>
      </c>
      <c r="C14" s="565"/>
      <c r="D14" s="182">
        <v>0.96299999999999997</v>
      </c>
      <c r="E14" s="181">
        <v>1</v>
      </c>
      <c r="F14" s="182">
        <v>1</v>
      </c>
      <c r="G14" s="183">
        <v>1</v>
      </c>
      <c r="H14" s="183">
        <v>1</v>
      </c>
      <c r="I14" s="179"/>
      <c r="J14" s="179"/>
    </row>
    <row r="15" spans="2:13" ht="22.5" customHeight="1" x14ac:dyDescent="0.25">
      <c r="B15" s="566" t="s">
        <v>207</v>
      </c>
      <c r="C15" s="565"/>
      <c r="D15" s="181">
        <f>$D$5</f>
        <v>0.9</v>
      </c>
      <c r="E15" s="181">
        <f>$D$5</f>
        <v>0.9</v>
      </c>
      <c r="F15" s="181">
        <f>$D$5</f>
        <v>0.9</v>
      </c>
      <c r="G15" s="181">
        <f>$D$5</f>
        <v>0.9</v>
      </c>
      <c r="H15" s="181">
        <f>$D$5</f>
        <v>0.9</v>
      </c>
      <c r="I15" s="179"/>
      <c r="J15" s="179"/>
    </row>
    <row r="16" spans="2:13" ht="22.5" customHeight="1" x14ac:dyDescent="0.25">
      <c r="B16" s="566" t="s">
        <v>208</v>
      </c>
      <c r="C16" s="565"/>
      <c r="D16" s="183">
        <f>D14/D15</f>
        <v>1.0699999999999998</v>
      </c>
      <c r="E16" s="183">
        <f>E14/E15</f>
        <v>1.1111111111111112</v>
      </c>
      <c r="F16" s="183">
        <f>F14/F15</f>
        <v>1.1111111111111112</v>
      </c>
      <c r="G16" s="183">
        <f>G14/G15</f>
        <v>1.1111111111111112</v>
      </c>
      <c r="H16" s="183">
        <f>H14/H15</f>
        <v>1.1111111111111112</v>
      </c>
      <c r="I16" s="179"/>
      <c r="J16" s="179"/>
    </row>
    <row r="17" spans="2:14" ht="9.75" customHeight="1" x14ac:dyDescent="0.3">
      <c r="B17" s="184"/>
      <c r="C17" s="184"/>
      <c r="D17" s="179"/>
      <c r="E17" s="179"/>
      <c r="F17" s="179"/>
      <c r="G17" s="179"/>
      <c r="H17" s="179"/>
      <c r="I17" s="179"/>
      <c r="J17" s="179"/>
    </row>
    <row r="18" spans="2:14" ht="22.5" customHeight="1" x14ac:dyDescent="0.25">
      <c r="B18" s="561" t="s">
        <v>469</v>
      </c>
      <c r="C18" s="562"/>
      <c r="D18" s="562"/>
      <c r="E18" s="563"/>
      <c r="F18" s="185"/>
      <c r="G18" s="175"/>
      <c r="H18" s="175"/>
      <c r="I18" s="175"/>
      <c r="J18" s="175"/>
      <c r="K18" s="633" t="s">
        <v>470</v>
      </c>
      <c r="L18" s="634"/>
      <c r="M18" s="634"/>
      <c r="N18" s="635"/>
    </row>
    <row r="19" spans="2:14" ht="15.75" customHeight="1" x14ac:dyDescent="0.2">
      <c r="K19" s="640" t="s">
        <v>155</v>
      </c>
      <c r="L19" s="641"/>
      <c r="M19" s="641"/>
      <c r="N19" s="642"/>
    </row>
    <row r="20" spans="2:14" ht="22.5" customHeight="1" x14ac:dyDescent="0.2">
      <c r="K20" s="643"/>
      <c r="L20" s="644"/>
      <c r="M20" s="644"/>
      <c r="N20" s="645"/>
    </row>
    <row r="21" spans="2:14" ht="22.5" customHeight="1" x14ac:dyDescent="0.2">
      <c r="K21" s="643"/>
      <c r="L21" s="644"/>
      <c r="M21" s="644"/>
      <c r="N21" s="645"/>
    </row>
    <row r="22" spans="2:14" ht="22.5" customHeight="1" x14ac:dyDescent="0.2">
      <c r="K22" s="643"/>
      <c r="L22" s="644"/>
      <c r="M22" s="644"/>
      <c r="N22" s="645"/>
    </row>
    <row r="23" spans="2:14" ht="22.5" customHeight="1" x14ac:dyDescent="0.2">
      <c r="K23" s="643"/>
      <c r="L23" s="644"/>
      <c r="M23" s="644"/>
      <c r="N23" s="645"/>
    </row>
    <row r="24" spans="2:14" ht="22.5" customHeight="1" x14ac:dyDescent="0.2">
      <c r="K24" s="643"/>
      <c r="L24" s="644"/>
      <c r="M24" s="644"/>
      <c r="N24" s="645"/>
    </row>
    <row r="25" spans="2:14" ht="22.5" customHeight="1" x14ac:dyDescent="0.2">
      <c r="K25" s="643"/>
      <c r="L25" s="644"/>
      <c r="M25" s="644"/>
      <c r="N25" s="645"/>
    </row>
    <row r="26" spans="2:14" ht="22.5" customHeight="1" x14ac:dyDescent="0.2">
      <c r="K26" s="643"/>
      <c r="L26" s="644"/>
      <c r="M26" s="644"/>
      <c r="N26" s="645"/>
    </row>
    <row r="27" spans="2:14" ht="22.5" customHeight="1" x14ac:dyDescent="0.2">
      <c r="K27" s="643"/>
      <c r="L27" s="644"/>
      <c r="M27" s="644"/>
      <c r="N27" s="645"/>
    </row>
    <row r="28" spans="2:14" ht="22.5" customHeight="1" x14ac:dyDescent="0.2">
      <c r="K28" s="646"/>
      <c r="L28" s="647"/>
      <c r="M28" s="647"/>
      <c r="N28" s="648"/>
    </row>
    <row r="29" spans="2:14" ht="6" customHeight="1" x14ac:dyDescent="0.2"/>
    <row r="30" spans="2:14" ht="19.5" customHeight="1" x14ac:dyDescent="0.2">
      <c r="H30" s="559" t="s">
        <v>155</v>
      </c>
      <c r="I30" s="560"/>
      <c r="J30" s="560"/>
    </row>
  </sheetData>
  <sheetProtection formatCells="0" formatColumns="0" formatRows="0" insertColumns="0" insertRows="0" insertHyperlinks="0" deleteColumns="0" deleteRows="0" pivotTables="0"/>
  <mergeCells count="33">
    <mergeCell ref="B8:C8"/>
    <mergeCell ref="D8:E8"/>
    <mergeCell ref="F8:G8"/>
    <mergeCell ref="H8:J8"/>
    <mergeCell ref="D9:E9"/>
    <mergeCell ref="F9:G9"/>
    <mergeCell ref="H9:J9"/>
    <mergeCell ref="B18:E18"/>
    <mergeCell ref="K18:N18"/>
    <mergeCell ref="H30:J30"/>
    <mergeCell ref="B9:C9"/>
    <mergeCell ref="B11:J11"/>
    <mergeCell ref="B14:C14"/>
    <mergeCell ref="B15:C15"/>
    <mergeCell ref="B16:C16"/>
    <mergeCell ref="K19:N28"/>
    <mergeCell ref="B5:C5"/>
    <mergeCell ref="D5:E5"/>
    <mergeCell ref="F5:G5"/>
    <mergeCell ref="H5:J5"/>
    <mergeCell ref="B7:C7"/>
    <mergeCell ref="D7:E7"/>
    <mergeCell ref="F7:G7"/>
    <mergeCell ref="H7:J7"/>
    <mergeCell ref="B6:C6"/>
    <mergeCell ref="D6:E6"/>
    <mergeCell ref="F6:G6"/>
    <mergeCell ref="B2:D2"/>
    <mergeCell ref="E2:J2"/>
    <mergeCell ref="B4:C4"/>
    <mergeCell ref="D4:E4"/>
    <mergeCell ref="F4:G4"/>
    <mergeCell ref="H4:J4"/>
  </mergeCells>
  <phoneticPr fontId="95" type="noConversion"/>
  <pageMargins left="0.7" right="0.7" top="0.75" bottom="0.75" header="0" footer="0"/>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8DF17-2F55-4F58-8EA5-1DDF9F54291A}">
  <sheetPr>
    <tabColor theme="9" tint="-0.499984740745262"/>
    <pageSetUpPr fitToPage="1"/>
  </sheetPr>
  <dimension ref="B2:N47"/>
  <sheetViews>
    <sheetView showGridLines="0" workbookViewId="0">
      <selection activeCell="O9" sqref="O9"/>
    </sheetView>
  </sheetViews>
  <sheetFormatPr defaultColWidth="12.5703125" defaultRowHeight="15.75" customHeight="1" x14ac:dyDescent="0.2"/>
  <cols>
    <col min="1" max="1" width="3.42578125" customWidth="1"/>
    <col min="2" max="2" width="14.140625" customWidth="1"/>
    <col min="3" max="3" width="17" customWidth="1"/>
    <col min="4" max="4" width="17.28515625" customWidth="1"/>
    <col min="5" max="9" width="12.5703125" customWidth="1"/>
    <col min="10" max="10" width="36.28515625" customWidth="1"/>
    <col min="11" max="20" width="7.5703125" customWidth="1"/>
  </cols>
  <sheetData>
    <row r="2" spans="2:12" ht="55.5" customHeight="1" x14ac:dyDescent="0.2">
      <c r="B2" s="714"/>
      <c r="C2" s="715"/>
      <c r="D2" s="716"/>
      <c r="E2" s="717" t="s">
        <v>192</v>
      </c>
      <c r="F2" s="715"/>
      <c r="G2" s="715"/>
      <c r="H2" s="715"/>
      <c r="I2" s="715"/>
      <c r="J2" s="716"/>
    </row>
    <row r="3" spans="2:12" ht="22.5" customHeight="1" x14ac:dyDescent="0.2">
      <c r="B3" s="41"/>
      <c r="C3" s="41"/>
      <c r="D3" s="42"/>
      <c r="E3" s="42"/>
      <c r="F3" s="42"/>
      <c r="G3" s="42"/>
      <c r="H3" s="42"/>
      <c r="I3" s="42"/>
    </row>
    <row r="4" spans="2:12" ht="42" customHeight="1" x14ac:dyDescent="0.2">
      <c r="B4" s="567" t="s">
        <v>193</v>
      </c>
      <c r="C4" s="569"/>
      <c r="D4" s="718" t="str">
        <f>Índex!B64</f>
        <v xml:space="preserve"> PS4.04_Ind03.  </v>
      </c>
      <c r="E4" s="716"/>
      <c r="F4" s="567" t="s">
        <v>194</v>
      </c>
      <c r="G4" s="569"/>
      <c r="H4" s="718" t="str">
        <f>Índex!C64</f>
        <v>Valoració mitjana de la pregunta “Les instal·lacions (aules i espais docents) han estat adequades per afavorir el meu aprenentatge”.</v>
      </c>
      <c r="I4" s="715"/>
      <c r="J4" s="716"/>
    </row>
    <row r="5" spans="2:12" ht="22.5" customHeight="1" x14ac:dyDescent="0.2">
      <c r="B5" s="567" t="s">
        <v>195</v>
      </c>
      <c r="C5" s="569"/>
      <c r="D5" s="718" t="str">
        <f>Índex!F64</f>
        <v>≥3,5</v>
      </c>
      <c r="E5" s="716"/>
      <c r="F5" s="567" t="s">
        <v>196</v>
      </c>
      <c r="G5" s="569"/>
      <c r="H5" s="718" t="s">
        <v>216</v>
      </c>
      <c r="I5" s="715"/>
      <c r="J5" s="716"/>
    </row>
    <row r="6" spans="2:12" ht="22.5" customHeight="1" x14ac:dyDescent="0.2">
      <c r="B6" s="567" t="s">
        <v>471</v>
      </c>
      <c r="C6" s="569"/>
      <c r="D6" s="718" t="str">
        <f>Índex!H64</f>
        <v>Objectiu de Qualitat. Grups d'interès</v>
      </c>
      <c r="E6" s="716"/>
      <c r="F6" s="567" t="s">
        <v>462</v>
      </c>
      <c r="G6" s="569"/>
      <c r="H6" s="718"/>
      <c r="I6" s="715"/>
      <c r="J6" s="716"/>
    </row>
    <row r="7" spans="2:12" ht="22.5" customHeight="1" x14ac:dyDescent="0.2">
      <c r="B7" s="567" t="s">
        <v>463</v>
      </c>
      <c r="C7" s="569"/>
      <c r="D7" s="718"/>
      <c r="E7" s="716"/>
      <c r="F7" s="567" t="s">
        <v>464</v>
      </c>
      <c r="G7" s="569"/>
      <c r="H7" s="718" t="s">
        <v>198</v>
      </c>
      <c r="I7" s="715"/>
      <c r="J7" s="716"/>
    </row>
    <row r="8" spans="2:12" ht="29.25" customHeight="1" x14ac:dyDescent="0.2">
      <c r="B8" s="567" t="s">
        <v>465</v>
      </c>
      <c r="C8" s="569"/>
      <c r="D8" s="718" t="str">
        <f>Índex!D64</f>
        <v>Vicedegà d'Economia i d’Afers Acadèmics de Postgrau</v>
      </c>
      <c r="E8" s="716"/>
      <c r="F8" s="567" t="s">
        <v>472</v>
      </c>
      <c r="G8" s="569"/>
      <c r="H8" s="718" t="str">
        <f>Índex!E64</f>
        <v>Gestora de Qualitat</v>
      </c>
      <c r="I8" s="715"/>
      <c r="J8" s="716"/>
    </row>
    <row r="9" spans="2:12" ht="39" customHeight="1" x14ac:dyDescent="0.2">
      <c r="B9" s="567" t="s">
        <v>461</v>
      </c>
      <c r="C9" s="569"/>
      <c r="D9" s="718" t="str">
        <f>Índex!G64</f>
        <v xml:space="preserve"> PS4.04 Gestió d’Espais i Equipaments</v>
      </c>
      <c r="E9" s="716"/>
      <c r="F9" s="567" t="s">
        <v>467</v>
      </c>
      <c r="G9" s="569"/>
      <c r="H9" s="718" t="s">
        <v>571</v>
      </c>
      <c r="I9" s="715"/>
      <c r="J9" s="716"/>
      <c r="K9" s="97"/>
      <c r="L9" s="97"/>
    </row>
    <row r="10" spans="2:12" ht="12.75" x14ac:dyDescent="0.2"/>
    <row r="11" spans="2:12" ht="22.5" customHeight="1" x14ac:dyDescent="0.2">
      <c r="B11" s="567" t="s">
        <v>468</v>
      </c>
      <c r="C11" s="568"/>
      <c r="D11" s="568"/>
      <c r="E11" s="568"/>
      <c r="F11" s="568"/>
      <c r="G11" s="568"/>
      <c r="H11" s="568"/>
      <c r="I11" s="568"/>
      <c r="J11" s="569"/>
    </row>
    <row r="12" spans="2:12" ht="22.5" customHeight="1" x14ac:dyDescent="0.2"/>
    <row r="13" spans="2:12" ht="22.5" customHeight="1" x14ac:dyDescent="0.2">
      <c r="B13" s="965"/>
      <c r="C13" s="966"/>
      <c r="D13" s="78" t="s">
        <v>200</v>
      </c>
      <c r="E13" s="78" t="s">
        <v>201</v>
      </c>
      <c r="F13" s="78" t="s">
        <v>202</v>
      </c>
      <c r="G13" s="78" t="s">
        <v>203</v>
      </c>
      <c r="H13" s="78" t="s">
        <v>204</v>
      </c>
      <c r="I13" s="78" t="s">
        <v>205</v>
      </c>
    </row>
    <row r="14" spans="2:12" ht="41.25" customHeight="1" x14ac:dyDescent="0.2">
      <c r="B14" s="739" t="s">
        <v>218</v>
      </c>
      <c r="C14" s="813"/>
      <c r="D14" s="81">
        <v>3.82</v>
      </c>
      <c r="E14" s="81" t="s">
        <v>213</v>
      </c>
      <c r="F14" s="81">
        <v>4.38</v>
      </c>
      <c r="G14" s="81">
        <v>3.8</v>
      </c>
      <c r="H14" s="81">
        <v>3.53</v>
      </c>
      <c r="I14" s="321">
        <v>4</v>
      </c>
      <c r="J14" s="97"/>
    </row>
    <row r="15" spans="2:12" ht="41.25" customHeight="1" x14ac:dyDescent="0.2">
      <c r="B15" s="739" t="s">
        <v>235</v>
      </c>
      <c r="C15" s="813"/>
      <c r="D15" s="81" t="s">
        <v>213</v>
      </c>
      <c r="E15" s="81" t="s">
        <v>213</v>
      </c>
      <c r="F15" s="389">
        <v>2.8</v>
      </c>
      <c r="G15" s="389">
        <v>2</v>
      </c>
      <c r="H15" s="390">
        <v>3.43</v>
      </c>
      <c r="I15" s="321">
        <v>3.29</v>
      </c>
      <c r="J15" s="97"/>
    </row>
    <row r="16" spans="2:12" ht="41.25" customHeight="1" x14ac:dyDescent="0.2">
      <c r="B16" s="739" t="s">
        <v>262</v>
      </c>
      <c r="C16" s="813"/>
      <c r="D16" s="81" t="s">
        <v>213</v>
      </c>
      <c r="E16" s="81">
        <v>3.2</v>
      </c>
      <c r="F16" s="81">
        <v>4.67</v>
      </c>
      <c r="G16" s="389">
        <v>2.5</v>
      </c>
      <c r="H16" s="390">
        <v>4.17</v>
      </c>
      <c r="I16" s="321">
        <v>3.89</v>
      </c>
      <c r="J16" s="97"/>
    </row>
    <row r="17" spans="2:14" ht="41.25" customHeight="1" x14ac:dyDescent="0.2">
      <c r="B17" s="739" t="s">
        <v>221</v>
      </c>
      <c r="C17" s="813"/>
      <c r="D17" s="81">
        <v>3.44</v>
      </c>
      <c r="E17" s="81">
        <v>3</v>
      </c>
      <c r="F17" s="81">
        <v>3.77</v>
      </c>
      <c r="G17" s="81">
        <v>3.5</v>
      </c>
      <c r="H17" s="81">
        <v>4</v>
      </c>
      <c r="I17" s="321">
        <v>3.8</v>
      </c>
      <c r="J17" s="97"/>
    </row>
    <row r="18" spans="2:14" ht="41.25" customHeight="1" x14ac:dyDescent="0.2">
      <c r="B18" s="739" t="s">
        <v>294</v>
      </c>
      <c r="C18" s="813"/>
      <c r="D18" s="81" t="s">
        <v>213</v>
      </c>
      <c r="E18" s="81" t="s">
        <v>213</v>
      </c>
      <c r="F18" s="81" t="s">
        <v>213</v>
      </c>
      <c r="G18" s="81">
        <v>4</v>
      </c>
      <c r="H18" s="81">
        <v>3.89</v>
      </c>
      <c r="I18" s="321">
        <v>3.71</v>
      </c>
      <c r="J18" s="97"/>
    </row>
    <row r="19" spans="2:14" ht="41.25" customHeight="1" x14ac:dyDescent="0.2">
      <c r="B19" s="739" t="s">
        <v>295</v>
      </c>
      <c r="C19" s="813"/>
      <c r="D19" s="81">
        <v>3.25</v>
      </c>
      <c r="E19" s="81">
        <v>3.57</v>
      </c>
      <c r="F19" s="81" t="s">
        <v>213</v>
      </c>
      <c r="G19" s="81">
        <v>3.75</v>
      </c>
      <c r="H19" s="81">
        <v>3.25</v>
      </c>
      <c r="I19" s="332">
        <v>3.83</v>
      </c>
      <c r="J19" s="97"/>
      <c r="K19" s="20"/>
      <c r="L19" s="25"/>
      <c r="M19" s="25"/>
    </row>
    <row r="20" spans="2:14" ht="41.25" customHeight="1" x14ac:dyDescent="0.2">
      <c r="B20" s="739" t="s">
        <v>224</v>
      </c>
      <c r="C20" s="813"/>
      <c r="D20" s="81">
        <v>3.4</v>
      </c>
      <c r="E20" s="81" t="s">
        <v>213</v>
      </c>
      <c r="F20" s="81" t="s">
        <v>213</v>
      </c>
      <c r="G20" s="81" t="s">
        <v>213</v>
      </c>
      <c r="H20" s="81">
        <v>3.71</v>
      </c>
      <c r="I20" s="321" t="s">
        <v>213</v>
      </c>
      <c r="J20" s="97"/>
      <c r="K20" s="20"/>
      <c r="L20" s="25"/>
      <c r="M20" s="25"/>
    </row>
    <row r="21" spans="2:14" ht="41.25" customHeight="1" x14ac:dyDescent="0.2">
      <c r="B21" s="813" t="s">
        <v>225</v>
      </c>
      <c r="C21" s="1046"/>
      <c r="D21" s="81" t="s">
        <v>213</v>
      </c>
      <c r="E21" s="81" t="s">
        <v>213</v>
      </c>
      <c r="F21" s="81" t="s">
        <v>213</v>
      </c>
      <c r="G21" s="81" t="s">
        <v>213</v>
      </c>
      <c r="H21" s="81">
        <v>4.29</v>
      </c>
      <c r="I21" s="321">
        <v>3.31</v>
      </c>
      <c r="J21" s="97"/>
      <c r="K21" s="20"/>
      <c r="L21" s="25"/>
      <c r="M21" s="25"/>
    </row>
    <row r="22" spans="2:14" ht="41.25" customHeight="1" x14ac:dyDescent="0.2">
      <c r="B22" s="739" t="s">
        <v>226</v>
      </c>
      <c r="C22" s="813"/>
      <c r="D22" s="81">
        <v>3.4</v>
      </c>
      <c r="E22" s="81">
        <v>3.79</v>
      </c>
      <c r="F22" s="81">
        <v>3.27</v>
      </c>
      <c r="G22" s="81">
        <v>2.4</v>
      </c>
      <c r="H22" s="81">
        <v>3.9</v>
      </c>
      <c r="I22" s="321">
        <v>4.29</v>
      </c>
      <c r="J22" s="26"/>
    </row>
    <row r="23" spans="2:14" ht="41.25" customHeight="1" x14ac:dyDescent="0.2">
      <c r="B23" s="739" t="s">
        <v>227</v>
      </c>
      <c r="C23" s="813"/>
      <c r="D23" s="81">
        <v>3.36</v>
      </c>
      <c r="E23" s="81">
        <v>3.89</v>
      </c>
      <c r="F23" s="81">
        <v>3.67</v>
      </c>
      <c r="G23" s="81">
        <v>3.5</v>
      </c>
      <c r="H23" s="81">
        <v>3.64</v>
      </c>
      <c r="I23" s="321">
        <v>3.47</v>
      </c>
      <c r="J23" s="27"/>
      <c r="K23" s="50"/>
      <c r="L23" s="50"/>
      <c r="M23" s="50"/>
      <c r="N23" s="50"/>
    </row>
    <row r="24" spans="2:14" ht="41.25" customHeight="1" x14ac:dyDescent="0.2">
      <c r="B24" s="815" t="s">
        <v>228</v>
      </c>
      <c r="C24" s="816"/>
      <c r="D24" s="81">
        <v>3.48</v>
      </c>
      <c r="E24" s="81">
        <v>3.37</v>
      </c>
      <c r="F24" s="81">
        <v>3.58</v>
      </c>
      <c r="G24" s="81">
        <v>4.25</v>
      </c>
      <c r="H24" s="81">
        <v>3.89</v>
      </c>
      <c r="I24" s="321">
        <v>3.94</v>
      </c>
      <c r="J24" s="27"/>
      <c r="K24" s="50"/>
      <c r="L24" s="50"/>
      <c r="M24" s="50"/>
      <c r="N24" s="50"/>
    </row>
    <row r="25" spans="2:14" ht="41.25" customHeight="1" x14ac:dyDescent="0.2">
      <c r="B25" s="815" t="s">
        <v>241</v>
      </c>
      <c r="C25" s="816"/>
      <c r="D25" s="81" t="s">
        <v>213</v>
      </c>
      <c r="E25" s="81" t="s">
        <v>213</v>
      </c>
      <c r="F25" s="81">
        <v>3.33</v>
      </c>
      <c r="G25" s="81" t="s">
        <v>213</v>
      </c>
      <c r="H25" s="81">
        <v>3.63</v>
      </c>
      <c r="I25" s="321">
        <v>4.08</v>
      </c>
      <c r="J25" s="27"/>
      <c r="K25" s="50"/>
      <c r="L25" s="50"/>
      <c r="M25" s="50"/>
      <c r="N25" s="50"/>
    </row>
    <row r="26" spans="2:14" ht="41.25" customHeight="1" x14ac:dyDescent="0.2">
      <c r="B26" s="815" t="s">
        <v>266</v>
      </c>
      <c r="C26" s="816"/>
      <c r="D26" s="81" t="s">
        <v>213</v>
      </c>
      <c r="E26" s="81" t="s">
        <v>213</v>
      </c>
      <c r="F26" s="81" t="s">
        <v>213</v>
      </c>
      <c r="G26" s="81" t="s">
        <v>213</v>
      </c>
      <c r="H26" s="81">
        <v>3.5</v>
      </c>
      <c r="I26" s="321" t="s">
        <v>213</v>
      </c>
      <c r="J26" s="27"/>
      <c r="K26" s="50"/>
      <c r="L26" s="50"/>
      <c r="M26" s="50"/>
      <c r="N26" s="50"/>
    </row>
    <row r="27" spans="2:14" ht="41.25" customHeight="1" x14ac:dyDescent="0.2">
      <c r="B27" s="815" t="s">
        <v>252</v>
      </c>
      <c r="C27" s="816"/>
      <c r="D27" s="81" t="s">
        <v>213</v>
      </c>
      <c r="E27" s="81" t="s">
        <v>213</v>
      </c>
      <c r="F27" s="81">
        <v>4.1100000000000003</v>
      </c>
      <c r="G27" s="81" t="s">
        <v>213</v>
      </c>
      <c r="H27" s="81">
        <v>4.33</v>
      </c>
      <c r="I27" s="321">
        <v>4.8</v>
      </c>
      <c r="J27" s="27"/>
      <c r="K27" s="50"/>
      <c r="L27" s="50"/>
      <c r="M27" s="50"/>
      <c r="N27" s="50"/>
    </row>
    <row r="28" spans="2:14" ht="41.25" customHeight="1" x14ac:dyDescent="0.2">
      <c r="B28" s="815" t="s">
        <v>244</v>
      </c>
      <c r="C28" s="816"/>
      <c r="D28" s="81" t="s">
        <v>213</v>
      </c>
      <c r="E28" s="81" t="s">
        <v>213</v>
      </c>
      <c r="F28" s="81" t="s">
        <v>213</v>
      </c>
      <c r="G28" s="81" t="s">
        <v>213</v>
      </c>
      <c r="H28" s="81">
        <v>3.75</v>
      </c>
      <c r="I28" s="321">
        <v>4.0999999999999996</v>
      </c>
      <c r="J28" s="27"/>
      <c r="K28" s="50"/>
      <c r="L28" s="50"/>
      <c r="M28" s="50"/>
      <c r="N28" s="50"/>
    </row>
    <row r="29" spans="2:14" ht="41.25" customHeight="1" x14ac:dyDescent="0.2">
      <c r="B29" s="739" t="s">
        <v>253</v>
      </c>
      <c r="C29" s="739"/>
      <c r="D29" s="391" t="s">
        <v>213</v>
      </c>
      <c r="E29" s="81" t="s">
        <v>213</v>
      </c>
      <c r="F29" s="81" t="s">
        <v>213</v>
      </c>
      <c r="G29" s="81" t="s">
        <v>213</v>
      </c>
      <c r="H29" s="81">
        <v>4.5599999999999996</v>
      </c>
      <c r="I29" s="321" t="s">
        <v>213</v>
      </c>
      <c r="J29" s="27"/>
      <c r="K29" s="50"/>
      <c r="L29" s="50"/>
      <c r="M29" s="50"/>
      <c r="N29" s="50"/>
    </row>
    <row r="30" spans="2:14" ht="41.25" customHeight="1" x14ac:dyDescent="0.2">
      <c r="B30" s="815" t="s">
        <v>572</v>
      </c>
      <c r="C30" s="816"/>
      <c r="D30" s="81" t="s">
        <v>213</v>
      </c>
      <c r="E30" s="81" t="s">
        <v>213</v>
      </c>
      <c r="F30" s="81" t="s">
        <v>213</v>
      </c>
      <c r="G30" s="81" t="s">
        <v>213</v>
      </c>
      <c r="H30" s="81"/>
      <c r="I30" s="321" t="s">
        <v>213</v>
      </c>
      <c r="J30" s="27"/>
      <c r="K30" s="50"/>
      <c r="L30" s="50"/>
      <c r="M30" s="50"/>
      <c r="N30" s="50"/>
    </row>
    <row r="31" spans="2:14" ht="41.25" customHeight="1" x14ac:dyDescent="0.2">
      <c r="B31" s="815" t="s">
        <v>254</v>
      </c>
      <c r="C31" s="816"/>
      <c r="D31" s="81" t="s">
        <v>213</v>
      </c>
      <c r="E31" s="81" t="s">
        <v>213</v>
      </c>
      <c r="F31" s="81" t="s">
        <v>213</v>
      </c>
      <c r="G31" s="81" t="s">
        <v>213</v>
      </c>
      <c r="H31" s="81">
        <v>3.85</v>
      </c>
      <c r="I31" s="321" t="s">
        <v>282</v>
      </c>
      <c r="J31" s="27"/>
      <c r="K31" s="50"/>
      <c r="L31" s="50"/>
      <c r="M31" s="50"/>
      <c r="N31" s="50"/>
    </row>
    <row r="32" spans="2:14" ht="22.5" customHeight="1" x14ac:dyDescent="0.2">
      <c r="B32" s="909" t="str">
        <f>D5</f>
        <v>≥3,5</v>
      </c>
      <c r="C32" s="1044"/>
      <c r="D32" s="15">
        <f t="shared" ref="D32:I32" si="0">COUNTIF(D14:D31,"&gt;="&amp;D34)</f>
        <v>1</v>
      </c>
      <c r="E32" s="15">
        <f t="shared" si="0"/>
        <v>3</v>
      </c>
      <c r="F32" s="15">
        <f t="shared" si="0"/>
        <v>6</v>
      </c>
      <c r="G32" s="15">
        <f t="shared" si="0"/>
        <v>6</v>
      </c>
      <c r="H32" s="15">
        <f t="shared" si="0"/>
        <v>15</v>
      </c>
      <c r="I32" s="15">
        <f t="shared" si="0"/>
        <v>10</v>
      </c>
    </row>
    <row r="33" spans="2:14" ht="22.5" customHeight="1" x14ac:dyDescent="0.2">
      <c r="B33" s="734" t="s">
        <v>248</v>
      </c>
      <c r="C33" s="735"/>
      <c r="D33" s="15">
        <f t="shared" ref="D33:I33" si="1">COUNT(D14:D31)</f>
        <v>7</v>
      </c>
      <c r="E33" s="15">
        <f t="shared" si="1"/>
        <v>6</v>
      </c>
      <c r="F33" s="15">
        <f t="shared" si="1"/>
        <v>9</v>
      </c>
      <c r="G33" s="15">
        <f t="shared" si="1"/>
        <v>9</v>
      </c>
      <c r="H33" s="15">
        <f t="shared" si="1"/>
        <v>17</v>
      </c>
      <c r="I33" s="15">
        <f t="shared" si="1"/>
        <v>13</v>
      </c>
    </row>
    <row r="34" spans="2:14" ht="22.5" customHeight="1" x14ac:dyDescent="0.2">
      <c r="B34" s="910" t="s">
        <v>207</v>
      </c>
      <c r="C34" s="911"/>
      <c r="D34" s="65">
        <v>3.5</v>
      </c>
      <c r="E34" s="65">
        <v>3.5</v>
      </c>
      <c r="F34" s="65">
        <v>3.5</v>
      </c>
      <c r="G34" s="65">
        <v>3.5</v>
      </c>
      <c r="H34" s="65">
        <v>3.5</v>
      </c>
      <c r="I34" s="65">
        <v>3.5</v>
      </c>
    </row>
    <row r="35" spans="2:14" ht="22.5" customHeight="1" x14ac:dyDescent="0.2">
      <c r="B35" s="799" t="s">
        <v>208</v>
      </c>
      <c r="C35" s="1045"/>
      <c r="D35" s="43">
        <f t="shared" ref="D35:I35" si="2">D32/D33</f>
        <v>0.14285714285714285</v>
      </c>
      <c r="E35" s="43">
        <f t="shared" si="2"/>
        <v>0.5</v>
      </c>
      <c r="F35" s="43">
        <f t="shared" si="2"/>
        <v>0.66666666666666663</v>
      </c>
      <c r="G35" s="43">
        <f t="shared" si="2"/>
        <v>0.66666666666666663</v>
      </c>
      <c r="H35" s="43">
        <f t="shared" si="2"/>
        <v>0.88235294117647056</v>
      </c>
      <c r="I35" s="43">
        <f t="shared" si="2"/>
        <v>0.76923076923076927</v>
      </c>
    </row>
    <row r="36" spans="2:14" ht="22.5" customHeight="1" x14ac:dyDescent="0.25">
      <c r="B36" s="7"/>
      <c r="C36" s="7"/>
      <c r="D36" s="6"/>
      <c r="E36" s="6"/>
      <c r="F36" s="6"/>
      <c r="G36" s="6"/>
      <c r="H36" s="6"/>
      <c r="I36" s="6"/>
      <c r="J36" s="6"/>
    </row>
    <row r="37" spans="2:14" ht="22.5" customHeight="1" x14ac:dyDescent="0.2">
      <c r="B37" s="567" t="s">
        <v>469</v>
      </c>
      <c r="C37" s="568"/>
      <c r="D37" s="568"/>
      <c r="E37" s="569"/>
      <c r="F37" s="8"/>
      <c r="K37" s="567" t="s">
        <v>470</v>
      </c>
      <c r="L37" s="568"/>
      <c r="M37" s="568"/>
      <c r="N37" s="569"/>
    </row>
    <row r="38" spans="2:14" ht="22.5" customHeight="1" x14ac:dyDescent="0.2">
      <c r="B38" s="8"/>
      <c r="C38" s="8"/>
      <c r="D38" s="8"/>
      <c r="E38" s="8"/>
      <c r="F38" s="8"/>
      <c r="K38" s="9"/>
      <c r="L38" s="9"/>
      <c r="M38" s="9"/>
      <c r="N38" s="9"/>
    </row>
    <row r="39" spans="2:14" ht="6" customHeight="1" x14ac:dyDescent="0.2">
      <c r="B39" s="8"/>
      <c r="C39" s="8"/>
      <c r="D39" s="8"/>
      <c r="E39" s="8"/>
      <c r="F39" s="8"/>
      <c r="K39" s="709" t="s">
        <v>421</v>
      </c>
      <c r="L39" s="571"/>
      <c r="M39" s="571"/>
      <c r="N39" s="572"/>
    </row>
    <row r="40" spans="2:14" ht="19.5" customHeight="1" x14ac:dyDescent="0.2">
      <c r="B40" s="8"/>
      <c r="C40" s="8"/>
      <c r="D40" s="8"/>
      <c r="E40" s="8"/>
      <c r="F40" s="8"/>
      <c r="K40" s="573"/>
      <c r="L40" s="574"/>
      <c r="M40" s="574"/>
      <c r="N40" s="575"/>
    </row>
    <row r="41" spans="2:14" ht="19.5" customHeight="1" x14ac:dyDescent="0.2">
      <c r="B41" s="8"/>
      <c r="C41" s="8"/>
      <c r="D41" s="8"/>
      <c r="E41" s="8"/>
      <c r="F41" s="8"/>
      <c r="K41" s="573"/>
      <c r="L41" s="574"/>
      <c r="M41" s="574"/>
      <c r="N41" s="575"/>
    </row>
    <row r="42" spans="2:14" ht="19.5" customHeight="1" x14ac:dyDescent="0.2">
      <c r="K42" s="573"/>
      <c r="L42" s="574"/>
      <c r="M42" s="574"/>
      <c r="N42" s="575"/>
    </row>
    <row r="43" spans="2:14" ht="19.5" customHeight="1" x14ac:dyDescent="0.2">
      <c r="K43" s="573"/>
      <c r="L43" s="574"/>
      <c r="M43" s="574"/>
      <c r="N43" s="575"/>
    </row>
    <row r="44" spans="2:14" ht="19.5" customHeight="1" x14ac:dyDescent="0.2">
      <c r="K44" s="573"/>
      <c r="L44" s="574"/>
      <c r="M44" s="574"/>
      <c r="N44" s="575"/>
    </row>
    <row r="45" spans="2:14" ht="19.5" customHeight="1" x14ac:dyDescent="0.2">
      <c r="K45" s="573"/>
      <c r="L45" s="574"/>
      <c r="M45" s="574"/>
      <c r="N45" s="575"/>
    </row>
    <row r="46" spans="2:14" ht="19.5" customHeight="1" x14ac:dyDescent="0.2">
      <c r="K46" s="573"/>
      <c r="L46" s="574"/>
      <c r="M46" s="574"/>
      <c r="N46" s="575"/>
    </row>
    <row r="47" spans="2:14" ht="19.5" customHeight="1" x14ac:dyDescent="0.2">
      <c r="K47" s="576"/>
      <c r="L47" s="577"/>
      <c r="M47" s="577"/>
      <c r="N47" s="578"/>
    </row>
  </sheetData>
  <sheetProtection formatCells="0" formatColumns="0" formatRows="0" insertColumns="0" insertRows="0" insertHyperlinks="0" deleteColumns="0" deleteRows="0" pivotTables="0"/>
  <mergeCells count="53">
    <mergeCell ref="B5:C5"/>
    <mergeCell ref="D5:E5"/>
    <mergeCell ref="F5:G5"/>
    <mergeCell ref="H5:J5"/>
    <mergeCell ref="F7:G7"/>
    <mergeCell ref="D7:E7"/>
    <mergeCell ref="B7:C7"/>
    <mergeCell ref="B6:C6"/>
    <mergeCell ref="D6:E6"/>
    <mergeCell ref="F6:G6"/>
    <mergeCell ref="H6:J6"/>
    <mergeCell ref="H7:J7"/>
    <mergeCell ref="B2:D2"/>
    <mergeCell ref="E2:J2"/>
    <mergeCell ref="B4:C4"/>
    <mergeCell ref="D4:E4"/>
    <mergeCell ref="F4:G4"/>
    <mergeCell ref="H4:J4"/>
    <mergeCell ref="K37:N37"/>
    <mergeCell ref="K39:N47"/>
    <mergeCell ref="B16:C16"/>
    <mergeCell ref="B35:C35"/>
    <mergeCell ref="B37:E37"/>
    <mergeCell ref="B21:C21"/>
    <mergeCell ref="B24:C24"/>
    <mergeCell ref="B33:C33"/>
    <mergeCell ref="B18:C18"/>
    <mergeCell ref="B19:C19"/>
    <mergeCell ref="B20:C20"/>
    <mergeCell ref="B22:C22"/>
    <mergeCell ref="B23:C23"/>
    <mergeCell ref="B34:C34"/>
    <mergeCell ref="B25:C25"/>
    <mergeCell ref="B26:C26"/>
    <mergeCell ref="B14:C14"/>
    <mergeCell ref="B15:C15"/>
    <mergeCell ref="B32:C32"/>
    <mergeCell ref="B17:C17"/>
    <mergeCell ref="B27:C27"/>
    <mergeCell ref="B28:C28"/>
    <mergeCell ref="B29:C29"/>
    <mergeCell ref="B30:C30"/>
    <mergeCell ref="B31:C31"/>
    <mergeCell ref="B13:C13"/>
    <mergeCell ref="H8:J8"/>
    <mergeCell ref="D9:E9"/>
    <mergeCell ref="F9:G9"/>
    <mergeCell ref="H9:J9"/>
    <mergeCell ref="B11:J11"/>
    <mergeCell ref="B9:C9"/>
    <mergeCell ref="B8:C8"/>
    <mergeCell ref="D8:E8"/>
    <mergeCell ref="F8:G8"/>
  </mergeCells>
  <conditionalFormatting sqref="D14:I31">
    <cfRule type="cellIs" dxfId="15" priority="1" operator="lessThan">
      <formula>3.5</formula>
    </cfRule>
  </conditionalFormatting>
  <pageMargins left="0.7" right="0.7" top="0.75" bottom="0.75" header="0" footer="0"/>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C6F5F-9E7C-4BCB-B48C-4E1115192580}">
  <sheetPr>
    <tabColor theme="9" tint="-0.499984740745262"/>
    <pageSetUpPr fitToPage="1"/>
  </sheetPr>
  <dimension ref="B2:N43"/>
  <sheetViews>
    <sheetView showGridLines="0" workbookViewId="0">
      <selection activeCell="Q7" sqref="Q7"/>
    </sheetView>
  </sheetViews>
  <sheetFormatPr defaultColWidth="12.5703125" defaultRowHeight="15.75" customHeight="1" x14ac:dyDescent="0.2"/>
  <cols>
    <col min="1" max="1" width="3.42578125" customWidth="1"/>
    <col min="2" max="2" width="14.140625" customWidth="1"/>
    <col min="3" max="3" width="16.42578125" customWidth="1"/>
    <col min="4" max="4" width="17.28515625" customWidth="1"/>
    <col min="5"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50.25" customHeight="1" x14ac:dyDescent="0.2">
      <c r="B4" s="567" t="s">
        <v>193</v>
      </c>
      <c r="C4" s="569"/>
      <c r="D4" s="718" t="str">
        <f>Índex!B66</f>
        <v xml:space="preserve"> PS4.05_Ind01.</v>
      </c>
      <c r="E4" s="716"/>
      <c r="F4" s="567" t="s">
        <v>194</v>
      </c>
      <c r="G4" s="569"/>
      <c r="H4" s="718" t="str">
        <f>Índex!C66</f>
        <v>Els recursos facilitats pels serveis de biblioteca i de suport a la docència han respost a les meves necessitats (Enquesta sobre el grau de satisfacció dels egressats i de les egressades de la UAB)</v>
      </c>
      <c r="I4" s="715"/>
      <c r="J4" s="716"/>
    </row>
    <row r="5" spans="2:10" ht="22.5" customHeight="1" x14ac:dyDescent="0.2">
      <c r="B5" s="567" t="s">
        <v>195</v>
      </c>
      <c r="C5" s="569"/>
      <c r="D5" s="718" t="str">
        <f>Índex!F66</f>
        <v>≥3,5</v>
      </c>
      <c r="E5" s="716"/>
      <c r="F5" s="567" t="s">
        <v>196</v>
      </c>
      <c r="G5" s="569"/>
      <c r="H5" s="718" t="s">
        <v>216</v>
      </c>
      <c r="I5" s="715"/>
      <c r="J5" s="716"/>
    </row>
    <row r="6" spans="2:10" ht="22.5" customHeight="1" x14ac:dyDescent="0.2">
      <c r="B6" s="567" t="s">
        <v>471</v>
      </c>
      <c r="C6" s="569"/>
      <c r="D6" s="718" t="str">
        <f>Índex!H66</f>
        <v>Objectiu de Qualitat. Grups d'interès</v>
      </c>
      <c r="E6" s="716"/>
      <c r="F6" s="567" t="s">
        <v>462</v>
      </c>
      <c r="G6" s="569"/>
      <c r="H6" s="718"/>
      <c r="I6" s="715"/>
      <c r="J6" s="716"/>
    </row>
    <row r="7" spans="2:10" ht="22.5" customHeight="1" x14ac:dyDescent="0.2">
      <c r="B7" s="567" t="s">
        <v>575</v>
      </c>
      <c r="C7" s="569"/>
      <c r="D7" s="718"/>
      <c r="E7" s="716"/>
      <c r="F7" s="567" t="s">
        <v>464</v>
      </c>
      <c r="G7" s="569"/>
      <c r="H7" s="718" t="s">
        <v>198</v>
      </c>
      <c r="I7" s="715"/>
      <c r="J7" s="716"/>
    </row>
    <row r="8" spans="2:10" ht="31.5" customHeight="1" x14ac:dyDescent="0.2">
      <c r="B8" s="567" t="s">
        <v>465</v>
      </c>
      <c r="C8" s="569"/>
      <c r="D8" s="718" t="str">
        <f>Índex!D66</f>
        <v>Vicedegà d'Economia i d’Afers Acadèmics de Postgrau</v>
      </c>
      <c r="E8" s="716"/>
      <c r="F8" s="567" t="s">
        <v>472</v>
      </c>
      <c r="G8" s="569"/>
      <c r="H8" s="718" t="str">
        <f>Índex!E66</f>
        <v>Gestora de Qualitat</v>
      </c>
      <c r="I8" s="715"/>
      <c r="J8" s="716"/>
    </row>
    <row r="9" spans="2:10" ht="43.5" customHeight="1" x14ac:dyDescent="0.2">
      <c r="B9" s="567" t="s">
        <v>461</v>
      </c>
      <c r="C9" s="569"/>
      <c r="D9" s="718" t="str">
        <f>Índex!G66</f>
        <v>PS4.05. Gestió de Serveis</v>
      </c>
      <c r="E9" s="716"/>
      <c r="F9" s="567" t="s">
        <v>467</v>
      </c>
      <c r="G9" s="569"/>
      <c r="H9" s="718" t="s">
        <v>576</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row r="13" spans="2:10" ht="22.5" customHeight="1" x14ac:dyDescent="0.2">
      <c r="B13" s="965"/>
      <c r="C13" s="966"/>
      <c r="D13" s="89" t="s">
        <v>200</v>
      </c>
      <c r="E13" s="89" t="s">
        <v>201</v>
      </c>
      <c r="F13" s="89" t="s">
        <v>202</v>
      </c>
      <c r="G13" s="89" t="s">
        <v>203</v>
      </c>
      <c r="H13" s="89" t="s">
        <v>204</v>
      </c>
      <c r="I13" s="89" t="s">
        <v>205</v>
      </c>
    </row>
    <row r="14" spans="2:10" ht="41.25" customHeight="1" x14ac:dyDescent="0.2">
      <c r="B14" s="739" t="s">
        <v>218</v>
      </c>
      <c r="C14" s="739"/>
      <c r="D14" s="392">
        <v>4.2699999999999996</v>
      </c>
      <c r="E14" s="392" t="s">
        <v>213</v>
      </c>
      <c r="F14" s="392">
        <v>4.25</v>
      </c>
      <c r="G14" s="392">
        <v>4</v>
      </c>
      <c r="H14" s="392">
        <v>4.1900000000000004</v>
      </c>
      <c r="I14" s="392">
        <v>3.92</v>
      </c>
    </row>
    <row r="15" spans="2:10" ht="41.25" customHeight="1" x14ac:dyDescent="0.2">
      <c r="B15" s="739" t="s">
        <v>235</v>
      </c>
      <c r="C15" s="739"/>
      <c r="D15" s="392" t="s">
        <v>213</v>
      </c>
      <c r="E15" s="392" t="s">
        <v>213</v>
      </c>
      <c r="F15" s="392">
        <v>3.8</v>
      </c>
      <c r="G15" s="392">
        <v>4</v>
      </c>
      <c r="H15" s="392">
        <v>4.29</v>
      </c>
      <c r="I15" s="392">
        <v>3.86</v>
      </c>
    </row>
    <row r="16" spans="2:10" ht="41.25" customHeight="1" x14ac:dyDescent="0.2">
      <c r="B16" s="739" t="s">
        <v>262</v>
      </c>
      <c r="C16" s="739"/>
      <c r="D16" s="392" t="s">
        <v>213</v>
      </c>
      <c r="E16" s="392">
        <v>2.8</v>
      </c>
      <c r="F16" s="392">
        <v>4.17</v>
      </c>
      <c r="G16" s="392">
        <v>4</v>
      </c>
      <c r="H16" s="392">
        <v>4.5</v>
      </c>
      <c r="I16" s="392">
        <v>3.67</v>
      </c>
    </row>
    <row r="17" spans="2:14" ht="41.25" customHeight="1" x14ac:dyDescent="0.2">
      <c r="B17" s="739" t="s">
        <v>221</v>
      </c>
      <c r="C17" s="739"/>
      <c r="D17" s="392">
        <v>4.1100000000000003</v>
      </c>
      <c r="E17" s="392">
        <v>3.81</v>
      </c>
      <c r="F17" s="392">
        <v>4.38</v>
      </c>
      <c r="G17" s="392">
        <v>3.5</v>
      </c>
      <c r="H17" s="392">
        <v>4.33</v>
      </c>
      <c r="I17" s="392">
        <v>4.13</v>
      </c>
    </row>
    <row r="18" spans="2:14" ht="41.25" customHeight="1" x14ac:dyDescent="0.2">
      <c r="B18" s="739" t="s">
        <v>294</v>
      </c>
      <c r="C18" s="739"/>
      <c r="D18" s="392" t="s">
        <v>213</v>
      </c>
      <c r="E18" s="392" t="s">
        <v>213</v>
      </c>
      <c r="F18" s="392" t="s">
        <v>213</v>
      </c>
      <c r="G18" s="392">
        <v>4</v>
      </c>
      <c r="H18" s="392">
        <v>4.4400000000000004</v>
      </c>
      <c r="I18" s="392">
        <v>4.57</v>
      </c>
    </row>
    <row r="19" spans="2:14" ht="41.25" customHeight="1" x14ac:dyDescent="0.2">
      <c r="B19" s="739" t="s">
        <v>295</v>
      </c>
      <c r="C19" s="739"/>
      <c r="D19" s="392">
        <v>3.75</v>
      </c>
      <c r="E19" s="392">
        <v>4.1399999999999997</v>
      </c>
      <c r="F19" s="392" t="s">
        <v>213</v>
      </c>
      <c r="G19" s="392">
        <v>3.75</v>
      </c>
      <c r="H19" s="392">
        <v>4.13</v>
      </c>
      <c r="I19" s="392">
        <v>4.5</v>
      </c>
      <c r="K19" s="20"/>
      <c r="L19" s="25"/>
      <c r="M19" s="25"/>
    </row>
    <row r="20" spans="2:14" ht="41.25" customHeight="1" x14ac:dyDescent="0.2">
      <c r="B20" s="739" t="s">
        <v>224</v>
      </c>
      <c r="C20" s="739"/>
      <c r="D20" s="392">
        <v>3.4</v>
      </c>
      <c r="E20" s="392" t="s">
        <v>213</v>
      </c>
      <c r="F20" s="392" t="s">
        <v>213</v>
      </c>
      <c r="G20" s="392" t="s">
        <v>213</v>
      </c>
      <c r="H20" s="392">
        <v>4.5</v>
      </c>
      <c r="I20" s="392" t="s">
        <v>213</v>
      </c>
      <c r="K20" s="801" t="s">
        <v>470</v>
      </c>
      <c r="L20" s="802"/>
      <c r="M20" s="802"/>
      <c r="N20" s="803"/>
    </row>
    <row r="21" spans="2:14" ht="41.25" customHeight="1" x14ac:dyDescent="0.2">
      <c r="B21" s="739" t="s">
        <v>225</v>
      </c>
      <c r="C21" s="739"/>
      <c r="D21" s="392">
        <v>4.2</v>
      </c>
      <c r="E21" s="392">
        <v>4.43</v>
      </c>
      <c r="F21" s="392">
        <v>3.82</v>
      </c>
      <c r="G21" s="392">
        <v>2.8</v>
      </c>
      <c r="H21" s="392">
        <v>4.33</v>
      </c>
      <c r="I21" s="392">
        <v>4</v>
      </c>
      <c r="K21" s="667" t="s">
        <v>422</v>
      </c>
      <c r="L21" s="667"/>
      <c r="M21" s="667"/>
      <c r="N21" s="667"/>
    </row>
    <row r="22" spans="2:14" ht="41.25" customHeight="1" x14ac:dyDescent="0.2">
      <c r="B22" s="739" t="s">
        <v>226</v>
      </c>
      <c r="C22" s="739"/>
      <c r="D22" s="392">
        <v>3.73</v>
      </c>
      <c r="E22" s="392">
        <v>4.22</v>
      </c>
      <c r="F22" s="392">
        <v>3.8</v>
      </c>
      <c r="G22" s="392">
        <v>3.5</v>
      </c>
      <c r="H22" s="392">
        <v>4.55</v>
      </c>
      <c r="I22" s="392">
        <v>4.5</v>
      </c>
      <c r="K22" s="667"/>
      <c r="L22" s="667"/>
      <c r="M22" s="667"/>
      <c r="N22" s="667"/>
    </row>
    <row r="23" spans="2:14" ht="41.25" customHeight="1" x14ac:dyDescent="0.2">
      <c r="B23" s="739" t="s">
        <v>227</v>
      </c>
      <c r="C23" s="739"/>
      <c r="D23" s="392">
        <v>3.94</v>
      </c>
      <c r="E23" s="392">
        <v>3.78</v>
      </c>
      <c r="F23" s="392">
        <v>3.42</v>
      </c>
      <c r="G23" s="392">
        <v>4.5</v>
      </c>
      <c r="H23" s="392">
        <v>3.91</v>
      </c>
      <c r="I23" s="392">
        <v>4.2</v>
      </c>
      <c r="K23" s="667"/>
      <c r="L23" s="667"/>
      <c r="M23" s="667"/>
      <c r="N23" s="667"/>
    </row>
    <row r="24" spans="2:14" ht="41.25" customHeight="1" x14ac:dyDescent="0.2">
      <c r="B24" s="739" t="s">
        <v>228</v>
      </c>
      <c r="C24" s="739"/>
      <c r="D24" s="392">
        <v>3.99</v>
      </c>
      <c r="E24" s="392">
        <v>3.89</v>
      </c>
      <c r="F24" s="392">
        <v>3.93</v>
      </c>
      <c r="G24" s="392">
        <v>3.7</v>
      </c>
      <c r="H24" s="392">
        <v>4.16</v>
      </c>
      <c r="I24" s="392">
        <v>4.29</v>
      </c>
      <c r="K24" s="667"/>
      <c r="L24" s="667"/>
      <c r="M24" s="667"/>
      <c r="N24" s="667"/>
    </row>
    <row r="25" spans="2:14" ht="22.5" customHeight="1" x14ac:dyDescent="0.2">
      <c r="B25" s="978" t="str">
        <f>D5</f>
        <v>≥3,5</v>
      </c>
      <c r="C25" s="978"/>
      <c r="D25" s="15">
        <f t="shared" ref="D25:I25" si="0">COUNTIF(D14:D24,"&gt;="&amp;D27)</f>
        <v>7</v>
      </c>
      <c r="E25" s="15">
        <f t="shared" si="0"/>
        <v>6</v>
      </c>
      <c r="F25" s="15">
        <f t="shared" si="0"/>
        <v>7</v>
      </c>
      <c r="G25" s="15">
        <f t="shared" si="0"/>
        <v>9</v>
      </c>
      <c r="H25" s="15">
        <f t="shared" si="0"/>
        <v>11</v>
      </c>
      <c r="I25" s="15">
        <f t="shared" si="0"/>
        <v>10</v>
      </c>
      <c r="K25" s="667"/>
      <c r="L25" s="667"/>
      <c r="M25" s="667"/>
      <c r="N25" s="667"/>
    </row>
    <row r="26" spans="2:14" ht="22.5" customHeight="1" x14ac:dyDescent="0.2">
      <c r="B26" s="734" t="s">
        <v>248</v>
      </c>
      <c r="C26" s="734"/>
      <c r="D26" s="15">
        <f t="shared" ref="D26:I26" si="1">COUNT(D14:D24)</f>
        <v>8</v>
      </c>
      <c r="E26" s="15">
        <f t="shared" si="1"/>
        <v>7</v>
      </c>
      <c r="F26" s="15">
        <f t="shared" si="1"/>
        <v>8</v>
      </c>
      <c r="G26" s="15">
        <f t="shared" si="1"/>
        <v>10</v>
      </c>
      <c r="H26" s="15">
        <f t="shared" si="1"/>
        <v>11</v>
      </c>
      <c r="I26" s="15">
        <f t="shared" si="1"/>
        <v>10</v>
      </c>
      <c r="K26" s="667"/>
      <c r="L26" s="667"/>
      <c r="M26" s="667"/>
      <c r="N26" s="667"/>
    </row>
    <row r="27" spans="2:14" ht="22.5" customHeight="1" x14ac:dyDescent="0.2">
      <c r="B27" s="910" t="s">
        <v>207</v>
      </c>
      <c r="C27" s="911"/>
      <c r="D27" s="65">
        <v>3.5</v>
      </c>
      <c r="E27" s="65">
        <v>3.5</v>
      </c>
      <c r="F27" s="65">
        <v>3.5</v>
      </c>
      <c r="G27" s="65">
        <v>3.5</v>
      </c>
      <c r="H27" s="65">
        <v>3.5</v>
      </c>
      <c r="I27" s="28">
        <v>3.5</v>
      </c>
      <c r="K27" s="667"/>
      <c r="L27" s="667"/>
      <c r="M27" s="667"/>
      <c r="N27" s="667"/>
    </row>
    <row r="28" spans="2:14" ht="22.5" customHeight="1" x14ac:dyDescent="0.2">
      <c r="B28" s="799" t="s">
        <v>208</v>
      </c>
      <c r="C28" s="879"/>
      <c r="D28" s="382">
        <f t="shared" ref="D28:I28" si="2">D25/D26</f>
        <v>0.875</v>
      </c>
      <c r="E28" s="382">
        <f t="shared" si="2"/>
        <v>0.8571428571428571</v>
      </c>
      <c r="F28" s="382">
        <f t="shared" si="2"/>
        <v>0.875</v>
      </c>
      <c r="G28" s="382">
        <f t="shared" si="2"/>
        <v>0.9</v>
      </c>
      <c r="H28" s="382">
        <f t="shared" si="2"/>
        <v>1</v>
      </c>
      <c r="I28" s="382">
        <f t="shared" si="2"/>
        <v>1</v>
      </c>
      <c r="K28" s="667"/>
      <c r="L28" s="667"/>
      <c r="M28" s="667"/>
      <c r="N28" s="667"/>
    </row>
    <row r="29" spans="2:14" ht="22.5" customHeight="1" x14ac:dyDescent="0.25">
      <c r="B29" s="7"/>
      <c r="C29" s="7"/>
      <c r="D29" s="6"/>
      <c r="E29" s="6"/>
      <c r="F29" s="6"/>
      <c r="G29" s="6"/>
      <c r="H29" s="6"/>
      <c r="I29" s="6"/>
      <c r="K29" s="667"/>
      <c r="L29" s="667"/>
      <c r="M29" s="667"/>
      <c r="N29" s="667"/>
    </row>
    <row r="30" spans="2:14" ht="22.5" customHeight="1" x14ac:dyDescent="0.2">
      <c r="B30" s="567" t="s">
        <v>469</v>
      </c>
      <c r="C30" s="568"/>
      <c r="D30" s="568"/>
      <c r="E30" s="569"/>
      <c r="F30" s="8"/>
      <c r="K30" s="667"/>
      <c r="L30" s="667"/>
      <c r="M30" s="667"/>
      <c r="N30" s="667"/>
    </row>
    <row r="42" spans="8:10" ht="19.5" customHeight="1" x14ac:dyDescent="0.2">
      <c r="H42" s="559" t="s">
        <v>155</v>
      </c>
      <c r="I42" s="560"/>
      <c r="J42" s="560"/>
    </row>
    <row r="43" spans="8:10" ht="19.5" customHeight="1" x14ac:dyDescent="0.2">
      <c r="J43" t="s">
        <v>321</v>
      </c>
    </row>
  </sheetData>
  <sheetProtection formatCells="0" formatColumns="0" formatRows="0" insertColumns="0" insertRows="0" insertHyperlinks="0" deleteColumns="0" deleteRows="0" pivotTables="0"/>
  <mergeCells count="47">
    <mergeCell ref="B8:C8"/>
    <mergeCell ref="D8:E8"/>
    <mergeCell ref="F8:G8"/>
    <mergeCell ref="H8:J8"/>
    <mergeCell ref="H42:J42"/>
    <mergeCell ref="B23:C23"/>
    <mergeCell ref="B24:C24"/>
    <mergeCell ref="B25:C25"/>
    <mergeCell ref="B26:C26"/>
    <mergeCell ref="B28:C28"/>
    <mergeCell ref="B30:E30"/>
    <mergeCell ref="B27:C27"/>
    <mergeCell ref="F9:G9"/>
    <mergeCell ref="H9:J9"/>
    <mergeCell ref="D9:E9"/>
    <mergeCell ref="B9:C9"/>
    <mergeCell ref="F5:G5"/>
    <mergeCell ref="H5:J5"/>
    <mergeCell ref="B7:C7"/>
    <mergeCell ref="D7:E7"/>
    <mergeCell ref="F7:G7"/>
    <mergeCell ref="B5:C5"/>
    <mergeCell ref="D5:E5"/>
    <mergeCell ref="B6:C6"/>
    <mergeCell ref="D6:E6"/>
    <mergeCell ref="F6:G6"/>
    <mergeCell ref="H6:J6"/>
    <mergeCell ref="H7:J7"/>
    <mergeCell ref="E2:J2"/>
    <mergeCell ref="B4:C4"/>
    <mergeCell ref="D4:E4"/>
    <mergeCell ref="F4:G4"/>
    <mergeCell ref="H4:J4"/>
    <mergeCell ref="B2:D2"/>
    <mergeCell ref="K21:N30"/>
    <mergeCell ref="K20:N20"/>
    <mergeCell ref="B11:J11"/>
    <mergeCell ref="B14:C14"/>
    <mergeCell ref="B15:C15"/>
    <mergeCell ref="B22:C22"/>
    <mergeCell ref="B21:C21"/>
    <mergeCell ref="B16:C16"/>
    <mergeCell ref="B20:C20"/>
    <mergeCell ref="B17:C17"/>
    <mergeCell ref="B18:C18"/>
    <mergeCell ref="B19:C19"/>
    <mergeCell ref="B13:C13"/>
  </mergeCells>
  <conditionalFormatting sqref="D14:I24">
    <cfRule type="cellIs" dxfId="14" priority="2" operator="between">
      <formula>0</formula>
      <formula>3.15</formula>
    </cfRule>
  </conditionalFormatting>
  <pageMargins left="0.7" right="0.7" top="0.75" bottom="0.75" header="0" footer="0"/>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9FB27-ACC1-4D5B-B114-191BA48A8C2B}">
  <sheetPr>
    <tabColor theme="9" tint="-0.499984740745262"/>
    <pageSetUpPr fitToPage="1"/>
  </sheetPr>
  <dimension ref="B2:N42"/>
  <sheetViews>
    <sheetView showGridLines="0" workbookViewId="0">
      <selection activeCell="N8" sqref="N8"/>
    </sheetView>
  </sheetViews>
  <sheetFormatPr defaultColWidth="12.5703125" defaultRowHeight="15.75" customHeight="1" x14ac:dyDescent="0.2"/>
  <cols>
    <col min="1" max="1" width="3.42578125" customWidth="1"/>
    <col min="2" max="2" width="14.140625" customWidth="1"/>
    <col min="3" max="3" width="18" customWidth="1"/>
    <col min="4" max="4" width="17.28515625" customWidth="1"/>
    <col min="5"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Índex!B67</f>
        <v xml:space="preserve">PS4.05_Ind02. </v>
      </c>
      <c r="E4" s="716"/>
      <c r="F4" s="567" t="s">
        <v>194</v>
      </c>
      <c r="G4" s="569"/>
      <c r="H4" s="718" t="str">
        <f>Índex!C67</f>
        <v>L’ús del Campus Virtual ha facilitat el meu aprenentatge (Enquestes sobre el grau de satisfacció dels egressats i de les egressades de la UAB)</v>
      </c>
      <c r="I4" s="715"/>
      <c r="J4" s="716"/>
    </row>
    <row r="5" spans="2:10" ht="22.5" customHeight="1" x14ac:dyDescent="0.2">
      <c r="B5" s="567" t="s">
        <v>314</v>
      </c>
      <c r="C5" s="569"/>
      <c r="D5" s="718" t="str">
        <f>Índex!F67</f>
        <v>≥3,5</v>
      </c>
      <c r="E5" s="716"/>
      <c r="F5" s="567" t="s">
        <v>196</v>
      </c>
      <c r="G5" s="569"/>
      <c r="H5" s="718" t="s">
        <v>216</v>
      </c>
      <c r="I5" s="715"/>
      <c r="J5" s="716"/>
    </row>
    <row r="6" spans="2:10" ht="22.5" customHeight="1" x14ac:dyDescent="0.2">
      <c r="B6" s="567" t="s">
        <v>471</v>
      </c>
      <c r="C6" s="569"/>
      <c r="D6" s="718" t="str">
        <f>Índex!H67</f>
        <v>Objectiu de Qualitat. Grups d'interès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36" customHeight="1" x14ac:dyDescent="0.2">
      <c r="B8" s="567" t="s">
        <v>465</v>
      </c>
      <c r="C8" s="569"/>
      <c r="D8" s="718" t="str">
        <f>Índex!D67</f>
        <v>Vicedegà d'Economia i d’Afers Acadèmics de Postgrau</v>
      </c>
      <c r="E8" s="716"/>
      <c r="F8" s="567" t="s">
        <v>472</v>
      </c>
      <c r="G8" s="569"/>
      <c r="H8" s="718" t="str">
        <f>Índex!E67</f>
        <v>Gestora de Qualitat</v>
      </c>
      <c r="I8" s="715"/>
      <c r="J8" s="716"/>
    </row>
    <row r="9" spans="2:10" ht="45.75" customHeight="1" x14ac:dyDescent="0.2">
      <c r="B9" s="567" t="s">
        <v>461</v>
      </c>
      <c r="C9" s="569"/>
      <c r="D9" s="718" t="str">
        <f>Índex!G67</f>
        <v>PS4.05. Gestió de Serveis</v>
      </c>
      <c r="E9" s="716"/>
      <c r="F9" s="567" t="s">
        <v>467</v>
      </c>
      <c r="G9" s="569"/>
      <c r="H9" s="718" t="s">
        <v>576</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row r="13" spans="2:10" ht="22.5" customHeight="1" x14ac:dyDescent="0.2">
      <c r="B13" s="14"/>
      <c r="C13" s="14"/>
      <c r="D13" s="78" t="s">
        <v>200</v>
      </c>
      <c r="E13" s="78" t="s">
        <v>201</v>
      </c>
      <c r="F13" s="78" t="s">
        <v>202</v>
      </c>
      <c r="G13" s="78" t="s">
        <v>203</v>
      </c>
      <c r="H13" s="78" t="s">
        <v>204</v>
      </c>
      <c r="I13" s="78" t="s">
        <v>205</v>
      </c>
    </row>
    <row r="14" spans="2:10" ht="41.25" customHeight="1" x14ac:dyDescent="0.2">
      <c r="B14" s="739" t="s">
        <v>218</v>
      </c>
      <c r="C14" s="813"/>
      <c r="D14" s="321">
        <v>4.09</v>
      </c>
      <c r="E14" s="387" t="s">
        <v>213</v>
      </c>
      <c r="F14" s="321">
        <v>4.13</v>
      </c>
      <c r="G14" s="321">
        <v>3.8</v>
      </c>
      <c r="H14" s="321">
        <v>4</v>
      </c>
      <c r="I14" s="81">
        <v>4.3099999999999996</v>
      </c>
    </row>
    <row r="15" spans="2:10" ht="41.25" customHeight="1" x14ac:dyDescent="0.2">
      <c r="B15" s="739" t="s">
        <v>235</v>
      </c>
      <c r="C15" s="813"/>
      <c r="D15" s="387" t="s">
        <v>213</v>
      </c>
      <c r="E15" s="387" t="s">
        <v>213</v>
      </c>
      <c r="F15" s="321">
        <v>4</v>
      </c>
      <c r="G15" s="321">
        <v>5</v>
      </c>
      <c r="H15" s="321">
        <v>3.71</v>
      </c>
      <c r="I15" s="81">
        <v>3.83</v>
      </c>
    </row>
    <row r="16" spans="2:10" ht="41.25" customHeight="1" x14ac:dyDescent="0.2">
      <c r="B16" s="739" t="s">
        <v>262</v>
      </c>
      <c r="C16" s="813"/>
      <c r="D16" s="387" t="s">
        <v>213</v>
      </c>
      <c r="E16" s="321">
        <v>4.4000000000000004</v>
      </c>
      <c r="F16" s="321">
        <v>4.5</v>
      </c>
      <c r="G16" s="321">
        <v>4</v>
      </c>
      <c r="H16" s="321">
        <v>4.67</v>
      </c>
      <c r="I16" s="81">
        <v>4.1100000000000003</v>
      </c>
    </row>
    <row r="17" spans="2:14" ht="41.25" customHeight="1" x14ac:dyDescent="0.2">
      <c r="B17" s="739" t="s">
        <v>221</v>
      </c>
      <c r="C17" s="813"/>
      <c r="D17" s="321">
        <v>3.56</v>
      </c>
      <c r="E17" s="321">
        <v>3.9</v>
      </c>
      <c r="F17" s="321">
        <v>3.92</v>
      </c>
      <c r="G17" s="321">
        <v>4.17</v>
      </c>
      <c r="H17" s="321">
        <v>4.05</v>
      </c>
      <c r="I17" s="81">
        <v>4.13</v>
      </c>
    </row>
    <row r="18" spans="2:14" ht="41.25" customHeight="1" x14ac:dyDescent="0.2">
      <c r="B18" s="739" t="s">
        <v>294</v>
      </c>
      <c r="C18" s="813"/>
      <c r="D18" s="387" t="s">
        <v>213</v>
      </c>
      <c r="E18" s="387" t="s">
        <v>213</v>
      </c>
      <c r="F18" s="387" t="s">
        <v>213</v>
      </c>
      <c r="G18" s="321">
        <v>4</v>
      </c>
      <c r="H18" s="321">
        <v>4</v>
      </c>
      <c r="I18" s="81">
        <v>4.29</v>
      </c>
    </row>
    <row r="19" spans="2:14" ht="41.25" customHeight="1" x14ac:dyDescent="0.2">
      <c r="B19" s="739" t="s">
        <v>295</v>
      </c>
      <c r="C19" s="813"/>
      <c r="D19" s="321">
        <v>3.38</v>
      </c>
      <c r="E19" s="321">
        <v>3.57</v>
      </c>
      <c r="F19" s="387" t="s">
        <v>213</v>
      </c>
      <c r="G19" s="321">
        <v>4.5</v>
      </c>
      <c r="H19" s="321">
        <v>4.25</v>
      </c>
      <c r="I19" s="81">
        <v>4.67</v>
      </c>
      <c r="K19" s="20"/>
      <c r="L19" s="25"/>
      <c r="M19" s="25"/>
    </row>
    <row r="20" spans="2:14" ht="41.25" customHeight="1" x14ac:dyDescent="0.2">
      <c r="B20" s="739" t="s">
        <v>224</v>
      </c>
      <c r="C20" s="813"/>
      <c r="D20" s="321">
        <v>4.2</v>
      </c>
      <c r="E20" s="387" t="s">
        <v>213</v>
      </c>
      <c r="F20" s="387" t="s">
        <v>213</v>
      </c>
      <c r="G20" s="387" t="s">
        <v>213</v>
      </c>
      <c r="H20" s="321">
        <v>4.1399999999999997</v>
      </c>
      <c r="I20" s="81" t="s">
        <v>213</v>
      </c>
      <c r="K20" s="20"/>
      <c r="L20" s="25"/>
      <c r="M20" s="25"/>
    </row>
    <row r="21" spans="2:14" ht="41.25" customHeight="1" x14ac:dyDescent="0.2">
      <c r="B21" s="739" t="s">
        <v>225</v>
      </c>
      <c r="C21" s="739"/>
      <c r="D21" s="393" t="s">
        <v>213</v>
      </c>
      <c r="E21" s="393" t="s">
        <v>213</v>
      </c>
      <c r="F21" s="387" t="s">
        <v>213</v>
      </c>
      <c r="G21" s="393" t="s">
        <v>213</v>
      </c>
      <c r="H21" s="366">
        <v>4</v>
      </c>
      <c r="I21" s="81">
        <v>4</v>
      </c>
      <c r="K21" s="20"/>
      <c r="L21" s="25"/>
      <c r="M21" s="25"/>
    </row>
    <row r="22" spans="2:14" ht="41.25" customHeight="1" x14ac:dyDescent="0.2">
      <c r="B22" s="739" t="s">
        <v>226</v>
      </c>
      <c r="C22" s="813"/>
      <c r="D22" s="321">
        <v>4</v>
      </c>
      <c r="E22" s="321">
        <v>3.5</v>
      </c>
      <c r="F22" s="321">
        <v>3.45</v>
      </c>
      <c r="G22" s="321">
        <v>3.2</v>
      </c>
      <c r="H22" s="321">
        <v>4.37</v>
      </c>
      <c r="I22" s="81">
        <v>4.1399999999999997</v>
      </c>
      <c r="J22" s="26"/>
    </row>
    <row r="23" spans="2:14" ht="41.25" customHeight="1" x14ac:dyDescent="0.2">
      <c r="B23" s="739" t="s">
        <v>227</v>
      </c>
      <c r="C23" s="813"/>
      <c r="D23" s="321">
        <v>3.81</v>
      </c>
      <c r="E23" s="321">
        <v>4.1500000000000004</v>
      </c>
      <c r="F23" s="321">
        <v>3.25</v>
      </c>
      <c r="G23" s="321">
        <v>4.5</v>
      </c>
      <c r="H23" s="321">
        <v>4.2699999999999996</v>
      </c>
      <c r="I23" s="81">
        <v>3.53</v>
      </c>
      <c r="J23" s="27"/>
      <c r="K23" s="50"/>
      <c r="L23" s="50"/>
      <c r="M23" s="50"/>
      <c r="N23" s="50"/>
    </row>
    <row r="24" spans="2:14" ht="41.25" customHeight="1" x14ac:dyDescent="0.2">
      <c r="B24" s="815" t="s">
        <v>228</v>
      </c>
      <c r="C24" s="816"/>
      <c r="D24" s="321">
        <v>3.79</v>
      </c>
      <c r="E24" s="321">
        <v>3.96</v>
      </c>
      <c r="F24" s="321">
        <v>3.88</v>
      </c>
      <c r="G24" s="321">
        <v>4.5</v>
      </c>
      <c r="H24" s="321">
        <v>4.1500000000000004</v>
      </c>
      <c r="I24" s="81">
        <v>4.12</v>
      </c>
      <c r="J24" s="27"/>
      <c r="K24" s="50"/>
      <c r="L24" s="50"/>
      <c r="M24" s="50"/>
      <c r="N24" s="50"/>
    </row>
    <row r="25" spans="2:14" ht="22.5" customHeight="1" x14ac:dyDescent="0.2">
      <c r="B25" s="909" t="str">
        <f>D5</f>
        <v>≥3,5</v>
      </c>
      <c r="C25" s="909"/>
      <c r="D25" s="325">
        <f>COUNTIF(D14:D24,"&gt;="&amp;D27)</f>
        <v>6</v>
      </c>
      <c r="E25" s="325">
        <f>COUNTIF(E14:E24,"&gt;=3,5")</f>
        <v>6</v>
      </c>
      <c r="F25" s="325">
        <f>COUNTIF(F14:F24,"&gt;=3,5")</f>
        <v>5</v>
      </c>
      <c r="G25" s="325">
        <f>COUNTIF(G14:G24,"&gt;=3,5")</f>
        <v>8</v>
      </c>
      <c r="H25" s="325">
        <f>COUNTIF(H14:H24,"&gt;=3,5")</f>
        <v>11</v>
      </c>
      <c r="I25" s="325">
        <f>COUNTIF(I14:I24,"&gt;=3,5")</f>
        <v>10</v>
      </c>
    </row>
    <row r="26" spans="2:14" ht="22.5" customHeight="1" x14ac:dyDescent="0.2">
      <c r="B26" s="734" t="s">
        <v>248</v>
      </c>
      <c r="C26" s="734"/>
      <c r="D26" s="325">
        <f t="shared" ref="D26:I26" si="0">COUNT(D14:D24)</f>
        <v>7</v>
      </c>
      <c r="E26" s="325">
        <f t="shared" si="0"/>
        <v>6</v>
      </c>
      <c r="F26" s="325">
        <f t="shared" si="0"/>
        <v>7</v>
      </c>
      <c r="G26" s="325">
        <f t="shared" si="0"/>
        <v>9</v>
      </c>
      <c r="H26" s="325">
        <f t="shared" si="0"/>
        <v>11</v>
      </c>
      <c r="I26" s="325">
        <f t="shared" si="0"/>
        <v>10</v>
      </c>
    </row>
    <row r="27" spans="2:14" ht="22.5" customHeight="1" x14ac:dyDescent="0.2">
      <c r="B27" s="910" t="s">
        <v>207</v>
      </c>
      <c r="C27" s="911"/>
      <c r="D27" s="65">
        <v>3.5</v>
      </c>
      <c r="E27" s="65">
        <v>3.5</v>
      </c>
      <c r="F27" s="65">
        <v>3.5</v>
      </c>
      <c r="G27" s="65">
        <v>3.5</v>
      </c>
      <c r="H27" s="65">
        <v>3.5</v>
      </c>
      <c r="I27" s="65">
        <v>3.5</v>
      </c>
    </row>
    <row r="28" spans="2:14" ht="22.5" customHeight="1" x14ac:dyDescent="0.2">
      <c r="B28" s="799" t="s">
        <v>208</v>
      </c>
      <c r="C28" s="879"/>
      <c r="D28" s="43">
        <f t="shared" ref="D28:I28" si="1">D25/D26</f>
        <v>0.8571428571428571</v>
      </c>
      <c r="E28" s="43">
        <f t="shared" si="1"/>
        <v>1</v>
      </c>
      <c r="F28" s="43">
        <f t="shared" si="1"/>
        <v>0.7142857142857143</v>
      </c>
      <c r="G28" s="43">
        <f t="shared" si="1"/>
        <v>0.88888888888888884</v>
      </c>
      <c r="H28" s="43">
        <f t="shared" si="1"/>
        <v>1</v>
      </c>
      <c r="I28" s="43">
        <f t="shared" si="1"/>
        <v>1</v>
      </c>
    </row>
    <row r="29" spans="2:14" ht="22.5" customHeight="1" x14ac:dyDescent="0.25">
      <c r="B29" s="7"/>
      <c r="C29" s="7"/>
      <c r="D29" s="6"/>
      <c r="E29" s="6"/>
      <c r="F29" s="6"/>
      <c r="G29" s="6"/>
      <c r="H29" s="6"/>
      <c r="I29" s="6"/>
      <c r="J29" s="6"/>
    </row>
    <row r="30" spans="2:14" ht="22.5" customHeight="1" x14ac:dyDescent="0.2">
      <c r="B30" s="567" t="s">
        <v>469</v>
      </c>
      <c r="C30" s="568"/>
      <c r="D30" s="568"/>
      <c r="E30" s="569"/>
      <c r="F30" s="8"/>
      <c r="K30" s="788" t="s">
        <v>470</v>
      </c>
      <c r="L30" s="789"/>
      <c r="M30" s="789"/>
      <c r="N30" s="789"/>
    </row>
    <row r="31" spans="2:14" ht="22.5" customHeight="1" x14ac:dyDescent="0.2">
      <c r="B31" s="8"/>
      <c r="C31" s="8"/>
      <c r="D31" s="8"/>
      <c r="E31" s="8"/>
      <c r="F31" s="8"/>
      <c r="K31" s="667" t="s">
        <v>423</v>
      </c>
      <c r="L31" s="667"/>
      <c r="M31" s="667"/>
      <c r="N31" s="667"/>
    </row>
    <row r="32" spans="2:14" ht="6" customHeight="1" x14ac:dyDescent="0.2">
      <c r="B32" s="8"/>
      <c r="C32" s="8"/>
      <c r="D32" s="8"/>
      <c r="E32" s="8"/>
      <c r="F32" s="8"/>
      <c r="K32" s="667"/>
      <c r="L32" s="667"/>
      <c r="M32" s="667"/>
      <c r="N32" s="667"/>
    </row>
    <row r="33" spans="2:14" ht="19.5" customHeight="1" x14ac:dyDescent="0.2">
      <c r="B33" s="8"/>
      <c r="C33" s="8"/>
      <c r="D33" s="8"/>
      <c r="E33" s="8"/>
      <c r="F33" s="8"/>
      <c r="K33" s="667"/>
      <c r="L33" s="667"/>
      <c r="M33" s="667"/>
      <c r="N33" s="667"/>
    </row>
    <row r="34" spans="2:14" ht="19.5" customHeight="1" x14ac:dyDescent="0.2">
      <c r="B34" s="8"/>
      <c r="C34" s="8"/>
      <c r="D34" s="8"/>
      <c r="E34" s="8"/>
      <c r="F34" s="8"/>
      <c r="K34" s="667"/>
      <c r="L34" s="667"/>
      <c r="M34" s="667"/>
      <c r="N34" s="667"/>
    </row>
    <row r="35" spans="2:14" ht="19.5" customHeight="1" x14ac:dyDescent="0.2">
      <c r="K35" s="667"/>
      <c r="L35" s="667"/>
      <c r="M35" s="667"/>
      <c r="N35" s="667"/>
    </row>
    <row r="36" spans="2:14" ht="19.5" customHeight="1" x14ac:dyDescent="0.2">
      <c r="K36" s="667"/>
      <c r="L36" s="667"/>
      <c r="M36" s="667"/>
      <c r="N36" s="667"/>
    </row>
    <row r="37" spans="2:14" ht="19.5" customHeight="1" x14ac:dyDescent="0.2">
      <c r="K37" s="667"/>
      <c r="L37" s="667"/>
      <c r="M37" s="667"/>
      <c r="N37" s="667"/>
    </row>
    <row r="38" spans="2:14" ht="19.5" customHeight="1" x14ac:dyDescent="0.2">
      <c r="K38" s="667"/>
      <c r="L38" s="667"/>
      <c r="M38" s="667"/>
      <c r="N38" s="667"/>
    </row>
    <row r="39" spans="2:14" ht="19.5" customHeight="1" x14ac:dyDescent="0.2">
      <c r="K39" s="667"/>
      <c r="L39" s="667"/>
      <c r="M39" s="667"/>
      <c r="N39" s="667"/>
    </row>
    <row r="40" spans="2:14" ht="19.5" customHeight="1" x14ac:dyDescent="0.2">
      <c r="K40" s="667"/>
      <c r="L40" s="667"/>
      <c r="M40" s="667"/>
      <c r="N40" s="667"/>
    </row>
    <row r="41" spans="2:14" ht="19.5" customHeight="1" x14ac:dyDescent="0.2"/>
    <row r="42" spans="2:14" ht="19.5" customHeight="1" x14ac:dyDescent="0.2">
      <c r="H42" s="559" t="s">
        <v>155</v>
      </c>
      <c r="I42" s="560"/>
      <c r="J42" s="560"/>
    </row>
  </sheetData>
  <sheetProtection formatCells="0" formatColumns="0" formatRows="0" insertColumns="0" insertRows="0" insertHyperlinks="0" deleteColumns="0" deleteRows="0" pivotTables="0"/>
  <mergeCells count="46">
    <mergeCell ref="K30:N30"/>
    <mergeCell ref="K31:N40"/>
    <mergeCell ref="B27:C27"/>
    <mergeCell ref="H42:J42"/>
    <mergeCell ref="B25:C25"/>
    <mergeCell ref="B26:C26"/>
    <mergeCell ref="B28:C28"/>
    <mergeCell ref="B30:E30"/>
    <mergeCell ref="B24:C24"/>
    <mergeCell ref="B11:J11"/>
    <mergeCell ref="B14:C14"/>
    <mergeCell ref="B15:C15"/>
    <mergeCell ref="B16:C16"/>
    <mergeCell ref="B17:C17"/>
    <mergeCell ref="B18:C18"/>
    <mergeCell ref="B19:C19"/>
    <mergeCell ref="B20:C20"/>
    <mergeCell ref="B21:C21"/>
    <mergeCell ref="B22:C22"/>
    <mergeCell ref="B23:C23"/>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 ref="B8:C8"/>
    <mergeCell ref="D8:E8"/>
    <mergeCell ref="F8:G8"/>
    <mergeCell ref="H8:J8"/>
    <mergeCell ref="D9:E9"/>
    <mergeCell ref="F9:G9"/>
    <mergeCell ref="H9:J9"/>
    <mergeCell ref="B9:C9"/>
  </mergeCells>
  <conditionalFormatting sqref="D14:I24">
    <cfRule type="cellIs" dxfId="13" priority="1" operator="lessThan">
      <formula>3.5</formula>
    </cfRule>
  </conditionalFormatting>
  <pageMargins left="0.7" right="0.7" top="0.75" bottom="0.75" header="0" footer="0"/>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7DA6-0E8B-4644-8A1D-1EED9C83A898}">
  <sheetPr>
    <tabColor theme="9" tint="-0.499984740745262"/>
    <pageSetUpPr fitToPage="1"/>
  </sheetPr>
  <dimension ref="B2:M47"/>
  <sheetViews>
    <sheetView showGridLines="0" workbookViewId="0">
      <selection activeCell="R9" sqref="R9"/>
    </sheetView>
  </sheetViews>
  <sheetFormatPr defaultColWidth="12.5703125" defaultRowHeight="15.75" customHeight="1" x14ac:dyDescent="0.2"/>
  <cols>
    <col min="1" max="1" width="3.42578125" customWidth="1"/>
    <col min="2" max="2" width="14.140625" customWidth="1"/>
    <col min="3" max="3" width="17" customWidth="1"/>
    <col min="4" max="4" width="17.28515625" customWidth="1"/>
    <col min="5" max="5" width="12.5703125" customWidth="1"/>
    <col min="6" max="6" width="12.28515625" customWidth="1"/>
    <col min="7" max="8" width="12.5703125" customWidth="1"/>
    <col min="9" max="9" width="36.28515625" customWidth="1"/>
    <col min="10" max="10" width="8.85546875" customWidth="1"/>
    <col min="11" max="20" width="7.5703125" customWidth="1"/>
  </cols>
  <sheetData>
    <row r="2" spans="2:9" ht="55.5" customHeight="1" x14ac:dyDescent="0.2">
      <c r="B2" s="714"/>
      <c r="C2" s="715"/>
      <c r="D2" s="716"/>
      <c r="E2" s="717" t="s">
        <v>192</v>
      </c>
      <c r="F2" s="715"/>
      <c r="G2" s="715"/>
      <c r="H2" s="715"/>
      <c r="I2" s="716"/>
    </row>
    <row r="3" spans="2:9" ht="22.5" customHeight="1" x14ac:dyDescent="0.2">
      <c r="B3" s="41"/>
      <c r="C3" s="41"/>
      <c r="D3" s="42"/>
      <c r="E3" s="42"/>
      <c r="F3" s="42"/>
      <c r="G3" s="42"/>
      <c r="H3" s="42"/>
    </row>
    <row r="4" spans="2:9" ht="42" customHeight="1" x14ac:dyDescent="0.2">
      <c r="B4" s="567" t="s">
        <v>193</v>
      </c>
      <c r="C4" s="569"/>
      <c r="D4" s="718" t="str">
        <f>Índex!B68</f>
        <v xml:space="preserve"> PS5.03_Ind01.</v>
      </c>
      <c r="E4" s="716"/>
      <c r="F4" s="62" t="s">
        <v>194</v>
      </c>
      <c r="G4" s="718" t="str">
        <f>Índex!C68</f>
        <v xml:space="preserve"> Taxa d’ocupació de les persones titulades, per titulació. (Indicador PE1.03_Ind05) </v>
      </c>
      <c r="H4" s="715"/>
      <c r="I4" s="716"/>
    </row>
    <row r="5" spans="2:9" ht="22.5" customHeight="1" x14ac:dyDescent="0.2">
      <c r="B5" s="567" t="s">
        <v>195</v>
      </c>
      <c r="C5" s="569"/>
      <c r="D5" s="848">
        <f>Índex!F68</f>
        <v>0.7</v>
      </c>
      <c r="E5" s="849"/>
      <c r="F5" s="62" t="s">
        <v>196</v>
      </c>
      <c r="G5" s="718" t="s">
        <v>197</v>
      </c>
      <c r="H5" s="715"/>
      <c r="I5" s="716"/>
    </row>
    <row r="6" spans="2:9" ht="36" customHeight="1" x14ac:dyDescent="0.2">
      <c r="B6" s="567" t="s">
        <v>471</v>
      </c>
      <c r="C6" s="569"/>
      <c r="D6" s="718" t="str">
        <f>Índex!H68</f>
        <v>Objectiu de Qualitat. Qualitat dels programes formatius</v>
      </c>
      <c r="E6" s="716"/>
      <c r="F6" s="62" t="s">
        <v>462</v>
      </c>
      <c r="G6" s="718"/>
      <c r="H6" s="715"/>
      <c r="I6" s="716"/>
    </row>
    <row r="7" spans="2:9" ht="22.5" customHeight="1" x14ac:dyDescent="0.2">
      <c r="B7" s="567" t="s">
        <v>463</v>
      </c>
      <c r="C7" s="569"/>
      <c r="D7" s="718"/>
      <c r="E7" s="716"/>
      <c r="F7" s="62" t="s">
        <v>464</v>
      </c>
      <c r="G7" s="718" t="s">
        <v>198</v>
      </c>
      <c r="H7" s="715"/>
      <c r="I7" s="716"/>
    </row>
    <row r="8" spans="2:9" ht="22.5" customHeight="1" x14ac:dyDescent="0.2">
      <c r="B8" s="567" t="s">
        <v>465</v>
      </c>
      <c r="C8" s="569"/>
      <c r="D8" s="718" t="str">
        <f>Índex!D68</f>
        <v xml:space="preserve">Vicedegà d’Alumnat i de Promoció  </v>
      </c>
      <c r="E8" s="716"/>
      <c r="F8" s="62" t="s">
        <v>472</v>
      </c>
      <c r="G8" s="718" t="str">
        <f>Índex!E68</f>
        <v>Gestora de Qualitat</v>
      </c>
      <c r="H8" s="715"/>
      <c r="I8" s="716"/>
    </row>
    <row r="9" spans="2:9" ht="67.5" customHeight="1" x14ac:dyDescent="0.2">
      <c r="B9" s="567" t="s">
        <v>461</v>
      </c>
      <c r="C9" s="569"/>
      <c r="D9" s="718" t="str">
        <f>Índex!G68</f>
        <v>PS05.03. Inserció laboral</v>
      </c>
      <c r="E9" s="716"/>
      <c r="F9" s="62" t="s">
        <v>467</v>
      </c>
      <c r="G9" s="718" t="s">
        <v>570</v>
      </c>
      <c r="H9" s="715"/>
      <c r="I9" s="716"/>
    </row>
    <row r="10" spans="2:9" ht="7.5" customHeight="1" x14ac:dyDescent="0.2"/>
    <row r="11" spans="2:9" ht="22.5" customHeight="1" x14ac:dyDescent="0.2">
      <c r="B11" s="567" t="s">
        <v>468</v>
      </c>
      <c r="C11" s="568"/>
      <c r="D11" s="568"/>
      <c r="E11" s="568"/>
      <c r="F11" s="568"/>
      <c r="G11" s="568"/>
      <c r="H11" s="568"/>
      <c r="I11" s="569"/>
    </row>
    <row r="12" spans="2:9" ht="22.5" customHeight="1" x14ac:dyDescent="0.2">
      <c r="B12" s="17" t="s">
        <v>155</v>
      </c>
      <c r="C12" s="12"/>
      <c r="D12" s="12"/>
      <c r="E12" s="12"/>
      <c r="F12" s="12"/>
      <c r="G12" s="12"/>
      <c r="H12" s="12"/>
      <c r="I12" s="12"/>
    </row>
    <row r="13" spans="2:9" ht="22.5" customHeight="1" x14ac:dyDescent="0.2">
      <c r="B13" s="965"/>
      <c r="C13" s="966"/>
      <c r="D13" s="84">
        <v>2014</v>
      </c>
      <c r="E13" s="84">
        <v>2017</v>
      </c>
      <c r="F13" s="84">
        <v>2020</v>
      </c>
      <c r="G13" s="84">
        <v>2023</v>
      </c>
    </row>
    <row r="14" spans="2:9" ht="22.5" customHeight="1" x14ac:dyDescent="0.2">
      <c r="B14" s="739" t="s">
        <v>218</v>
      </c>
      <c r="C14" s="739"/>
      <c r="D14" s="384">
        <v>0.7</v>
      </c>
      <c r="E14" s="384">
        <v>0.84199999999999997</v>
      </c>
      <c r="F14" s="384">
        <v>0.71099999999999997</v>
      </c>
      <c r="G14" s="384">
        <v>0.85699999999999998</v>
      </c>
      <c r="H14" s="21"/>
    </row>
    <row r="15" spans="2:9" ht="41.25" customHeight="1" x14ac:dyDescent="0.2">
      <c r="B15" s="739" t="s">
        <v>220</v>
      </c>
      <c r="C15" s="739"/>
      <c r="D15" s="384" t="s">
        <v>213</v>
      </c>
      <c r="E15" s="384">
        <v>0.94399999999999995</v>
      </c>
      <c r="F15" s="384" t="s">
        <v>213</v>
      </c>
      <c r="G15" s="384">
        <v>0.92600000000000005</v>
      </c>
    </row>
    <row r="16" spans="2:9" ht="16.5" customHeight="1" x14ac:dyDescent="0.2">
      <c r="B16" s="739" t="s">
        <v>221</v>
      </c>
      <c r="C16" s="739"/>
      <c r="D16" s="384" t="s">
        <v>213</v>
      </c>
      <c r="E16" s="384" t="s">
        <v>213</v>
      </c>
      <c r="F16" s="384">
        <v>0.91700000000000004</v>
      </c>
      <c r="G16" s="384">
        <v>0.95</v>
      </c>
    </row>
    <row r="17" spans="2:13" ht="13.5" x14ac:dyDescent="0.2">
      <c r="B17" s="739" t="s">
        <v>224</v>
      </c>
      <c r="C17" s="739"/>
      <c r="D17" s="384" t="s">
        <v>249</v>
      </c>
      <c r="E17" s="384">
        <v>0.69599999999999995</v>
      </c>
      <c r="F17" s="384">
        <v>0.89500000000000002</v>
      </c>
      <c r="G17" s="384">
        <v>0.93200000000000005</v>
      </c>
    </row>
    <row r="18" spans="2:13" ht="37.5" customHeight="1" x14ac:dyDescent="0.2">
      <c r="B18" s="739" t="s">
        <v>225</v>
      </c>
      <c r="C18" s="739"/>
      <c r="D18" s="384" t="s">
        <v>213</v>
      </c>
      <c r="E18" s="384" t="s">
        <v>213</v>
      </c>
      <c r="F18" s="384" t="s">
        <v>213</v>
      </c>
      <c r="G18" s="384" t="s">
        <v>213</v>
      </c>
    </row>
    <row r="19" spans="2:13" ht="50.25" customHeight="1" x14ac:dyDescent="0.2">
      <c r="B19" s="739" t="s">
        <v>226</v>
      </c>
      <c r="C19" s="739"/>
      <c r="D19" s="384" t="s">
        <v>213</v>
      </c>
      <c r="E19" s="384" t="s">
        <v>213</v>
      </c>
      <c r="F19" s="384" t="s">
        <v>213</v>
      </c>
      <c r="G19" s="384">
        <v>0.88600000000000001</v>
      </c>
    </row>
    <row r="20" spans="2:13" ht="29.25" customHeight="1" x14ac:dyDescent="0.2">
      <c r="B20" s="739" t="s">
        <v>227</v>
      </c>
      <c r="C20" s="739"/>
      <c r="D20" s="384" t="s">
        <v>213</v>
      </c>
      <c r="E20" s="384" t="s">
        <v>213</v>
      </c>
      <c r="F20" s="384">
        <v>0.89700000000000002</v>
      </c>
      <c r="G20" s="384">
        <v>0.83599999999999997</v>
      </c>
    </row>
    <row r="21" spans="2:13" ht="29.25" customHeight="1" x14ac:dyDescent="0.2">
      <c r="B21" s="739" t="s">
        <v>228</v>
      </c>
      <c r="C21" s="739"/>
      <c r="D21" s="384">
        <v>0.81299999999999994</v>
      </c>
      <c r="E21" s="384">
        <v>0.91800000000000004</v>
      </c>
      <c r="F21" s="384">
        <v>0.90900000000000003</v>
      </c>
      <c r="G21" s="384">
        <v>0.90100000000000002</v>
      </c>
    </row>
    <row r="22" spans="2:13" ht="45" customHeight="1" x14ac:dyDescent="0.2">
      <c r="B22" s="739" t="s">
        <v>241</v>
      </c>
      <c r="C22" s="739"/>
      <c r="D22" s="384">
        <v>0.878</v>
      </c>
      <c r="E22" s="384">
        <v>0.92200000000000004</v>
      </c>
      <c r="F22" s="384">
        <v>0.875</v>
      </c>
      <c r="G22" s="384">
        <v>0.9</v>
      </c>
    </row>
    <row r="23" spans="2:13" ht="39" customHeight="1" x14ac:dyDescent="0.2">
      <c r="B23" s="739" t="s">
        <v>251</v>
      </c>
      <c r="C23" s="739"/>
      <c r="D23" s="384" t="s">
        <v>213</v>
      </c>
      <c r="E23" s="384">
        <v>0.85699999999999998</v>
      </c>
      <c r="F23" s="384" t="s">
        <v>213</v>
      </c>
      <c r="G23" s="384">
        <v>0.95199999999999996</v>
      </c>
    </row>
    <row r="24" spans="2:13" ht="45" customHeight="1" x14ac:dyDescent="0.2">
      <c r="B24" s="739" t="s">
        <v>252</v>
      </c>
      <c r="C24" s="739"/>
      <c r="D24" s="384">
        <v>0.71899999999999997</v>
      </c>
      <c r="E24" s="384">
        <v>0.81299999999999994</v>
      </c>
      <c r="F24" s="384">
        <v>0.877</v>
      </c>
      <c r="G24" s="384">
        <v>0.76500000000000001</v>
      </c>
    </row>
    <row r="25" spans="2:13" ht="28.5" customHeight="1" x14ac:dyDescent="0.2">
      <c r="B25" s="739" t="s">
        <v>573</v>
      </c>
      <c r="C25" s="739"/>
      <c r="D25" s="384">
        <v>0.89400000000000002</v>
      </c>
      <c r="E25" s="384">
        <v>0.91200000000000003</v>
      </c>
      <c r="F25" s="384">
        <v>0.94399999999999995</v>
      </c>
      <c r="G25" s="384">
        <v>0.92300000000000004</v>
      </c>
    </row>
    <row r="26" spans="2:13" ht="33.75" customHeight="1" x14ac:dyDescent="0.2">
      <c r="B26" s="739" t="s">
        <v>253</v>
      </c>
      <c r="C26" s="739"/>
      <c r="D26" s="384" t="s">
        <v>213</v>
      </c>
      <c r="E26" s="384" t="s">
        <v>213</v>
      </c>
      <c r="F26" s="384" t="s">
        <v>213</v>
      </c>
      <c r="G26" s="384">
        <v>0.95499999999999996</v>
      </c>
    </row>
    <row r="27" spans="2:13" ht="26.25" customHeight="1" x14ac:dyDescent="0.2">
      <c r="B27" s="739" t="s">
        <v>245</v>
      </c>
      <c r="C27" s="739"/>
      <c r="D27" s="384">
        <v>0.83599999999999997</v>
      </c>
      <c r="E27" s="384">
        <v>0.88900000000000001</v>
      </c>
      <c r="F27" s="384">
        <v>0.88</v>
      </c>
      <c r="G27" s="384">
        <v>0.85699999999999998</v>
      </c>
    </row>
    <row r="28" spans="2:13" ht="26.25" customHeight="1" x14ac:dyDescent="0.2">
      <c r="B28" s="1049" t="s">
        <v>254</v>
      </c>
      <c r="C28" s="1049"/>
      <c r="D28" s="384">
        <v>0.95</v>
      </c>
      <c r="E28" s="384">
        <v>0.69199999999999995</v>
      </c>
      <c r="F28" s="384">
        <v>0.82899999999999996</v>
      </c>
      <c r="G28" s="384">
        <v>0.92200000000000004</v>
      </c>
    </row>
    <row r="29" spans="2:13" ht="26.25" customHeight="1" x14ac:dyDescent="0.2">
      <c r="B29" s="744" t="s">
        <v>255</v>
      </c>
      <c r="C29" s="745"/>
      <c r="D29" s="385">
        <f>COUNTIF(D14:D28,"&gt;="&amp;D31)</f>
        <v>7</v>
      </c>
      <c r="E29" s="385">
        <f>COUNTIF(E14:E28,"&gt;="&amp;E31)</f>
        <v>8</v>
      </c>
      <c r="F29" s="385">
        <f>COUNTIF(F14:F28,"&gt;="&amp;F31)</f>
        <v>10</v>
      </c>
      <c r="G29" s="385">
        <f>COUNTIF(G14:G28,"&gt;="&amp;G31)</f>
        <v>14</v>
      </c>
    </row>
    <row r="30" spans="2:13" ht="15" customHeight="1" x14ac:dyDescent="0.2">
      <c r="B30" s="744" t="s">
        <v>231</v>
      </c>
      <c r="C30" s="745"/>
      <c r="D30" s="385">
        <f>COUNT(D14:D28)</f>
        <v>7</v>
      </c>
      <c r="E30" s="385">
        <f>COUNT(E14:E28)</f>
        <v>10</v>
      </c>
      <c r="F30" s="385">
        <f>COUNT(F14:F28)</f>
        <v>10</v>
      </c>
      <c r="G30" s="385">
        <f>COUNT(G14:G28)</f>
        <v>14</v>
      </c>
    </row>
    <row r="31" spans="2:13" ht="15" customHeight="1" x14ac:dyDescent="0.2">
      <c r="B31" s="740" t="s">
        <v>5</v>
      </c>
      <c r="C31" s="741"/>
      <c r="D31" s="305">
        <f>$D$5</f>
        <v>0.7</v>
      </c>
      <c r="E31" s="305">
        <f>$D$5</f>
        <v>0.7</v>
      </c>
      <c r="F31" s="305">
        <f>$D$5</f>
        <v>0.7</v>
      </c>
      <c r="G31" s="305">
        <f>$D$5</f>
        <v>0.7</v>
      </c>
      <c r="J31" s="788" t="s">
        <v>470</v>
      </c>
      <c r="K31" s="789"/>
      <c r="L31" s="789"/>
      <c r="M31" s="789"/>
    </row>
    <row r="32" spans="2:13" ht="22.5" customHeight="1" x14ac:dyDescent="0.2">
      <c r="B32" s="740" t="s">
        <v>215</v>
      </c>
      <c r="C32" s="741"/>
      <c r="D32" s="47">
        <f>D29/D30</f>
        <v>1</v>
      </c>
      <c r="E32" s="47">
        <f>E29/E30</f>
        <v>0.8</v>
      </c>
      <c r="F32" s="47">
        <f>F29/F30</f>
        <v>1</v>
      </c>
      <c r="G32" s="47">
        <f>G29/G30</f>
        <v>1</v>
      </c>
      <c r="J32" s="695"/>
      <c r="K32" s="695"/>
      <c r="L32" s="695"/>
      <c r="M32" s="695"/>
    </row>
    <row r="33" spans="2:13" ht="22.5" customHeight="1" x14ac:dyDescent="0.2">
      <c r="J33" s="695"/>
      <c r="K33" s="695"/>
      <c r="L33" s="695"/>
      <c r="M33" s="695"/>
    </row>
    <row r="34" spans="2:13" ht="15.75" customHeight="1" x14ac:dyDescent="0.2">
      <c r="J34" s="695"/>
      <c r="K34" s="695"/>
      <c r="L34" s="695"/>
      <c r="M34" s="695"/>
    </row>
    <row r="35" spans="2:13" ht="27" customHeight="1" x14ac:dyDescent="0.2">
      <c r="B35" s="567" t="s">
        <v>469</v>
      </c>
      <c r="C35" s="1047"/>
      <c r="D35" s="1047"/>
      <c r="E35" s="1048"/>
      <c r="F35" s="8"/>
      <c r="J35" s="695"/>
      <c r="K35" s="695"/>
      <c r="L35" s="695"/>
      <c r="M35" s="695"/>
    </row>
    <row r="36" spans="2:13" ht="19.5" customHeight="1" x14ac:dyDescent="0.2">
      <c r="B36" s="8"/>
      <c r="C36" s="8"/>
      <c r="D36" s="8"/>
      <c r="E36" s="8"/>
      <c r="F36" s="8"/>
      <c r="J36" s="695"/>
      <c r="K36" s="695"/>
      <c r="L36" s="695"/>
      <c r="M36" s="695"/>
    </row>
    <row r="37" spans="2:13" ht="19.5" customHeight="1" x14ac:dyDescent="0.2">
      <c r="B37" s="8"/>
      <c r="C37" s="8"/>
      <c r="D37" s="8"/>
      <c r="E37" s="8"/>
      <c r="F37" s="8"/>
      <c r="J37" s="695"/>
      <c r="K37" s="695"/>
      <c r="L37" s="695"/>
      <c r="M37" s="695"/>
    </row>
    <row r="38" spans="2:13" ht="19.5" customHeight="1" x14ac:dyDescent="0.2">
      <c r="B38" s="8"/>
      <c r="C38" s="8"/>
      <c r="D38" s="8"/>
      <c r="E38" s="8"/>
      <c r="F38" s="8"/>
      <c r="J38" s="695"/>
      <c r="K38" s="695"/>
      <c r="L38" s="695"/>
      <c r="M38" s="695"/>
    </row>
    <row r="39" spans="2:13" ht="19.5" customHeight="1" x14ac:dyDescent="0.2">
      <c r="B39" s="8"/>
      <c r="C39" s="8"/>
      <c r="D39" s="8"/>
      <c r="E39" s="8"/>
      <c r="F39" s="8"/>
      <c r="J39" s="695"/>
      <c r="K39" s="695"/>
      <c r="L39" s="695"/>
      <c r="M39" s="695"/>
    </row>
    <row r="40" spans="2:13" ht="19.5" customHeight="1" x14ac:dyDescent="0.2">
      <c r="B40" s="8"/>
      <c r="C40" s="8"/>
      <c r="D40" s="8"/>
      <c r="E40" s="8"/>
      <c r="F40" s="8"/>
      <c r="J40" s="695"/>
      <c r="K40" s="695"/>
      <c r="L40" s="695"/>
      <c r="M40" s="695"/>
    </row>
    <row r="41" spans="2:13" ht="19.5" customHeight="1" x14ac:dyDescent="0.2">
      <c r="B41" s="8"/>
      <c r="C41" s="8"/>
      <c r="D41" s="8"/>
      <c r="E41" s="8"/>
      <c r="F41" s="8"/>
      <c r="J41" s="695"/>
      <c r="K41" s="695"/>
      <c r="L41" s="695"/>
      <c r="M41" s="695"/>
    </row>
    <row r="42" spans="2:13" ht="19.5" customHeight="1" x14ac:dyDescent="0.2">
      <c r="B42" s="8"/>
      <c r="C42" s="8"/>
      <c r="D42" s="8"/>
      <c r="E42" s="8"/>
      <c r="F42" s="8"/>
      <c r="J42" s="695"/>
      <c r="K42" s="695"/>
      <c r="L42" s="695"/>
      <c r="M42" s="695"/>
    </row>
    <row r="43" spans="2:13" ht="19.5" customHeight="1" x14ac:dyDescent="0.2">
      <c r="B43" s="8"/>
      <c r="C43" s="8"/>
      <c r="D43" s="8"/>
      <c r="E43" s="8"/>
      <c r="F43" s="8"/>
      <c r="J43" s="695"/>
      <c r="K43" s="695"/>
      <c r="L43" s="695"/>
      <c r="M43" s="695"/>
    </row>
    <row r="44" spans="2:13" ht="19.5" customHeight="1" x14ac:dyDescent="0.2">
      <c r="B44" s="8"/>
      <c r="C44" s="8"/>
      <c r="D44" s="8"/>
      <c r="E44" s="8"/>
      <c r="F44" s="8"/>
      <c r="J44" s="695"/>
      <c r="K44" s="695"/>
      <c r="L44" s="695"/>
      <c r="M44" s="695"/>
    </row>
    <row r="45" spans="2:13" ht="19.5" customHeight="1" x14ac:dyDescent="0.2">
      <c r="B45" s="8"/>
      <c r="C45" s="8"/>
      <c r="D45" s="8"/>
      <c r="E45" s="8"/>
      <c r="F45" s="8"/>
      <c r="J45" s="695"/>
      <c r="K45" s="695"/>
      <c r="L45" s="695"/>
      <c r="M45" s="695"/>
    </row>
    <row r="46" spans="2:13" ht="19.5" customHeight="1" x14ac:dyDescent="0.2"/>
    <row r="47" spans="2:13" ht="19.5" customHeight="1" x14ac:dyDescent="0.2">
      <c r="G47" s="559" t="s">
        <v>155</v>
      </c>
      <c r="H47" s="560"/>
      <c r="I47" s="560"/>
    </row>
  </sheetData>
  <sheetProtection formatCells="0" formatColumns="0" formatRows="0" insertColumns="0" insertRows="0" insertHyperlinks="0" deleteColumns="0" deleteRows="0" pivotTables="0"/>
  <mergeCells count="45">
    <mergeCell ref="D9:E9"/>
    <mergeCell ref="G9:I9"/>
    <mergeCell ref="J31:M31"/>
    <mergeCell ref="J32:M45"/>
    <mergeCell ref="B14:C14"/>
    <mergeCell ref="B9:C9"/>
    <mergeCell ref="B18:C18"/>
    <mergeCell ref="B19:C19"/>
    <mergeCell ref="B20:C20"/>
    <mergeCell ref="B21:C21"/>
    <mergeCell ref="B22:C22"/>
    <mergeCell ref="B23:C23"/>
    <mergeCell ref="B24:C24"/>
    <mergeCell ref="B26:C26"/>
    <mergeCell ref="B27:C27"/>
    <mergeCell ref="B28:C28"/>
    <mergeCell ref="B6:C6"/>
    <mergeCell ref="D6:E6"/>
    <mergeCell ref="G6:I6"/>
    <mergeCell ref="G7:I7"/>
    <mergeCell ref="B8:C8"/>
    <mergeCell ref="D8:E8"/>
    <mergeCell ref="G8:I8"/>
    <mergeCell ref="B35:E35"/>
    <mergeCell ref="G47:I47"/>
    <mergeCell ref="B2:D2"/>
    <mergeCell ref="E2:I2"/>
    <mergeCell ref="B4:C4"/>
    <mergeCell ref="D4:E4"/>
    <mergeCell ref="G4:I4"/>
    <mergeCell ref="B5:C5"/>
    <mergeCell ref="D5:E5"/>
    <mergeCell ref="G5:I5"/>
    <mergeCell ref="B7:C7"/>
    <mergeCell ref="D7:E7"/>
    <mergeCell ref="B25:C25"/>
    <mergeCell ref="B11:I11"/>
    <mergeCell ref="B15:C15"/>
    <mergeCell ref="B16:C16"/>
    <mergeCell ref="B13:C13"/>
    <mergeCell ref="B29:C29"/>
    <mergeCell ref="B30:C30"/>
    <mergeCell ref="B31:C31"/>
    <mergeCell ref="B32:C32"/>
    <mergeCell ref="B17:C17"/>
  </mergeCells>
  <conditionalFormatting sqref="D14:G28">
    <cfRule type="cellIs" dxfId="12" priority="1" operator="lessThan">
      <formula>0.7</formula>
    </cfRule>
  </conditionalFormatting>
  <pageMargins left="0.7" right="0.7" top="0.75" bottom="0.75" header="0" footer="0"/>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179E7-05FA-4DBA-A9A4-6DCD090475E9}">
  <sheetPr>
    <tabColor theme="9" tint="-0.499984740745262"/>
    <pageSetUpPr fitToPage="1"/>
  </sheetPr>
  <dimension ref="B2:M53"/>
  <sheetViews>
    <sheetView showGridLines="0" workbookViewId="0">
      <selection activeCell="H4" sqref="H4:J4"/>
    </sheetView>
  </sheetViews>
  <sheetFormatPr defaultColWidth="12.5703125" defaultRowHeight="15.75" customHeight="1" x14ac:dyDescent="0.2"/>
  <cols>
    <col min="1" max="1" width="3.42578125" customWidth="1"/>
    <col min="2" max="2" width="14.140625" customWidth="1"/>
    <col min="3" max="3" width="9.85546875" bestFit="1" customWidth="1"/>
    <col min="4" max="4" width="17.28515625" bestFit="1" customWidth="1"/>
    <col min="5" max="6" width="12.5703125" customWidth="1"/>
    <col min="7" max="7" width="14.28515625" customWidth="1"/>
    <col min="8" max="9" width="12.5703125" customWidth="1"/>
    <col min="10" max="10" width="36.28515625" customWidth="1"/>
    <col min="11" max="11" width="8.85546875" customWidth="1"/>
    <col min="12" max="21"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1063" t="s">
        <v>193</v>
      </c>
      <c r="C4" s="1064"/>
      <c r="D4" s="1065" t="str">
        <f>Índex!B69</f>
        <v xml:space="preserve"> PS5.03_Ind02. </v>
      </c>
      <c r="E4" s="1066"/>
      <c r="F4" s="1063" t="s">
        <v>194</v>
      </c>
      <c r="G4" s="1064"/>
      <c r="H4" s="1065" t="str">
        <f>Índex!C69</f>
        <v xml:space="preserve"> Nombre d’alumnes que realitzen Pràctiques curriculars desglossat per curs acadèmic i per titulació. </v>
      </c>
      <c r="I4" s="1066"/>
      <c r="J4" s="1066"/>
    </row>
    <row r="5" spans="2:10" ht="12.75" x14ac:dyDescent="0.2">
      <c r="B5" s="1063" t="s">
        <v>195</v>
      </c>
      <c r="C5" s="1064"/>
      <c r="D5" s="1065">
        <f>Índex!F69</f>
        <v>15</v>
      </c>
      <c r="E5" s="1066"/>
      <c r="F5" s="1067" t="s">
        <v>196</v>
      </c>
      <c r="G5" s="1064"/>
      <c r="H5" s="1068" t="s">
        <v>216</v>
      </c>
      <c r="I5" s="1066"/>
      <c r="J5" s="1066"/>
    </row>
    <row r="6" spans="2:10" ht="35.25" customHeight="1" x14ac:dyDescent="0.2">
      <c r="B6" s="1050" t="s">
        <v>471</v>
      </c>
      <c r="C6" s="1051"/>
      <c r="D6" s="1065" t="str">
        <f>Índex!H69</f>
        <v>Objectiu de Qualitat. Qualitat dels programes formatius</v>
      </c>
      <c r="E6" s="1066"/>
      <c r="F6" s="1067" t="s">
        <v>634</v>
      </c>
      <c r="G6" s="1067"/>
      <c r="H6" s="1059"/>
      <c r="I6" s="1060"/>
      <c r="J6" s="1061"/>
    </row>
    <row r="7" spans="2:10" ht="22.5" customHeight="1" x14ac:dyDescent="0.2">
      <c r="B7" s="1050" t="s">
        <v>463</v>
      </c>
      <c r="C7" s="1051"/>
      <c r="D7" s="1055"/>
      <c r="E7" s="1056"/>
      <c r="F7" s="1057" t="s">
        <v>464</v>
      </c>
      <c r="G7" s="1058"/>
      <c r="H7" s="1059" t="s">
        <v>198</v>
      </c>
      <c r="I7" s="1060"/>
      <c r="J7" s="1061"/>
    </row>
    <row r="8" spans="2:10" ht="22.5" customHeight="1" x14ac:dyDescent="0.2">
      <c r="B8" s="1050" t="s">
        <v>465</v>
      </c>
      <c r="C8" s="1051"/>
      <c r="D8" s="1055" t="str">
        <f>Índex!D69</f>
        <v xml:space="preserve">Vicedegà d’Alumnat i de Promoció  </v>
      </c>
      <c r="E8" s="1056"/>
      <c r="F8" s="1057" t="s">
        <v>637</v>
      </c>
      <c r="G8" s="1058"/>
      <c r="H8" s="1052" t="str">
        <f>Índex!E69</f>
        <v xml:space="preserve">Gestor Acadèmic </v>
      </c>
      <c r="I8" s="1053"/>
      <c r="J8" s="1054"/>
    </row>
    <row r="9" spans="2:10" ht="61.5" customHeight="1" x14ac:dyDescent="0.2">
      <c r="B9" s="1050" t="s">
        <v>461</v>
      </c>
      <c r="C9" s="1051"/>
      <c r="D9" s="1055" t="str">
        <f>Índex!G69</f>
        <v>PS05.03. Inserció laboral</v>
      </c>
      <c r="E9" s="1056"/>
      <c r="F9" s="1057" t="s">
        <v>467</v>
      </c>
      <c r="G9" s="1058"/>
      <c r="H9" s="1059" t="s">
        <v>640</v>
      </c>
      <c r="I9" s="1060"/>
      <c r="J9" s="1061"/>
    </row>
    <row r="10" spans="2:10" ht="7.5" customHeight="1" x14ac:dyDescent="0.2"/>
    <row r="11" spans="2:10" ht="22.5" customHeight="1" x14ac:dyDescent="0.2">
      <c r="B11" s="567" t="s">
        <v>468</v>
      </c>
      <c r="C11" s="568"/>
      <c r="D11" s="568"/>
      <c r="E11" s="568"/>
      <c r="F11" s="568"/>
      <c r="G11" s="568"/>
      <c r="H11" s="568"/>
      <c r="I11" s="568"/>
      <c r="J11" s="569"/>
    </row>
    <row r="12" spans="2:10" ht="22.5" customHeight="1" thickBot="1" x14ac:dyDescent="0.25">
      <c r="B12" s="17" t="s">
        <v>155</v>
      </c>
      <c r="C12" s="12"/>
      <c r="D12" s="12"/>
      <c r="E12" s="12"/>
      <c r="F12" s="12"/>
      <c r="G12" s="12"/>
      <c r="H12" s="12"/>
      <c r="I12" s="12"/>
      <c r="J12" s="12"/>
    </row>
    <row r="13" spans="2:10" ht="22.5" customHeight="1" thickBot="1" x14ac:dyDescent="0.25">
      <c r="B13" s="84" t="s">
        <v>425</v>
      </c>
      <c r="C13" s="84" t="s">
        <v>200</v>
      </c>
      <c r="D13" s="84" t="s">
        <v>201</v>
      </c>
      <c r="E13" s="84" t="s">
        <v>202</v>
      </c>
      <c r="F13" s="84" t="s">
        <v>203</v>
      </c>
      <c r="G13" s="84" t="s">
        <v>204</v>
      </c>
      <c r="H13" s="84" t="s">
        <v>205</v>
      </c>
      <c r="I13" s="123" t="s">
        <v>256</v>
      </c>
      <c r="J13" s="12"/>
    </row>
    <row r="14" spans="2:10" ht="22.5" customHeight="1" thickBot="1" x14ac:dyDescent="0.25">
      <c r="B14" s="79" t="s">
        <v>218</v>
      </c>
      <c r="C14" s="79">
        <v>45</v>
      </c>
      <c r="D14" s="79">
        <v>42</v>
      </c>
      <c r="E14" s="88">
        <v>31</v>
      </c>
      <c r="F14" s="79">
        <v>48</v>
      </c>
      <c r="G14" s="77">
        <v>44</v>
      </c>
      <c r="H14" s="77">
        <v>50</v>
      </c>
      <c r="I14" s="533">
        <v>26</v>
      </c>
      <c r="J14" s="12"/>
    </row>
    <row r="15" spans="2:10" ht="22.5" customHeight="1" thickBot="1" x14ac:dyDescent="0.25">
      <c r="B15" s="79" t="s">
        <v>220</v>
      </c>
      <c r="C15" s="79">
        <v>7</v>
      </c>
      <c r="D15" s="79">
        <v>11</v>
      </c>
      <c r="E15" s="88">
        <v>14</v>
      </c>
      <c r="F15" s="79">
        <v>18</v>
      </c>
      <c r="G15" s="77">
        <v>15</v>
      </c>
      <c r="H15" s="77">
        <v>27</v>
      </c>
      <c r="I15" s="533">
        <v>29</v>
      </c>
      <c r="J15" s="12"/>
    </row>
    <row r="16" spans="2:10" ht="22.5" customHeight="1" thickBot="1" x14ac:dyDescent="0.25">
      <c r="B16" s="79" t="s">
        <v>221</v>
      </c>
      <c r="C16" s="79">
        <v>38</v>
      </c>
      <c r="D16" s="79">
        <v>43</v>
      </c>
      <c r="E16" s="88">
        <v>28</v>
      </c>
      <c r="F16" s="79">
        <v>40</v>
      </c>
      <c r="G16" s="77">
        <v>39</v>
      </c>
      <c r="H16" s="77">
        <v>46</v>
      </c>
      <c r="I16" s="533">
        <v>41</v>
      </c>
      <c r="J16" s="12"/>
    </row>
    <row r="17" spans="2:13" ht="22.5" customHeight="1" thickBot="1" x14ac:dyDescent="0.25">
      <c r="B17" s="79" t="s">
        <v>224</v>
      </c>
      <c r="C17" s="79">
        <v>45</v>
      </c>
      <c r="D17" s="79">
        <v>33</v>
      </c>
      <c r="E17" s="88">
        <v>29</v>
      </c>
      <c r="F17" s="79">
        <v>52</v>
      </c>
      <c r="G17" s="77">
        <v>40</v>
      </c>
      <c r="H17" s="77">
        <v>38</v>
      </c>
      <c r="I17" s="533">
        <v>40</v>
      </c>
      <c r="J17" s="12"/>
    </row>
    <row r="18" spans="2:13" ht="57.75" thickBot="1" x14ac:dyDescent="0.35">
      <c r="B18" s="174" t="s">
        <v>225</v>
      </c>
      <c r="C18" s="79" t="s">
        <v>213</v>
      </c>
      <c r="D18" s="79" t="s">
        <v>213</v>
      </c>
      <c r="E18" s="88" t="s">
        <v>213</v>
      </c>
      <c r="F18" s="79" t="s">
        <v>213</v>
      </c>
      <c r="G18" s="77">
        <v>15</v>
      </c>
      <c r="H18" s="77">
        <v>28</v>
      </c>
      <c r="I18" s="533">
        <v>37</v>
      </c>
      <c r="J18" s="12"/>
    </row>
    <row r="19" spans="2:13" ht="22.5" customHeight="1" thickBot="1" x14ac:dyDescent="0.25">
      <c r="B19" s="79" t="s">
        <v>226</v>
      </c>
      <c r="C19" s="79">
        <v>24</v>
      </c>
      <c r="D19" s="79">
        <v>32</v>
      </c>
      <c r="E19" s="88">
        <v>26</v>
      </c>
      <c r="F19" s="79">
        <v>33</v>
      </c>
      <c r="G19" s="77">
        <v>50</v>
      </c>
      <c r="H19" s="77">
        <v>38</v>
      </c>
      <c r="I19" s="533">
        <v>47</v>
      </c>
      <c r="J19" s="12"/>
    </row>
    <row r="20" spans="2:13" ht="22.5" customHeight="1" thickBot="1" x14ac:dyDescent="0.25">
      <c r="B20" s="79" t="s">
        <v>227</v>
      </c>
      <c r="C20" s="79">
        <v>40</v>
      </c>
      <c r="D20" s="79">
        <v>46</v>
      </c>
      <c r="E20" s="88">
        <v>18</v>
      </c>
      <c r="F20" s="79">
        <v>19</v>
      </c>
      <c r="G20" s="77">
        <v>19</v>
      </c>
      <c r="H20" s="77">
        <v>25</v>
      </c>
      <c r="I20" s="533">
        <v>33</v>
      </c>
      <c r="J20" s="12"/>
    </row>
    <row r="21" spans="2:13" ht="22.5" customHeight="1" thickBot="1" x14ac:dyDescent="0.25">
      <c r="B21" s="79" t="s">
        <v>228</v>
      </c>
      <c r="C21" s="79">
        <v>59</v>
      </c>
      <c r="D21" s="79">
        <v>42</v>
      </c>
      <c r="E21" s="88">
        <v>43</v>
      </c>
      <c r="F21" s="79">
        <v>39</v>
      </c>
      <c r="G21" s="77">
        <v>48</v>
      </c>
      <c r="H21" s="77">
        <v>68</v>
      </c>
      <c r="I21" s="533">
        <v>69</v>
      </c>
      <c r="J21" s="12"/>
    </row>
    <row r="22" spans="2:13" ht="22.5" customHeight="1" thickBot="1" x14ac:dyDescent="0.25">
      <c r="B22" s="79" t="s">
        <v>244</v>
      </c>
      <c r="C22" s="79">
        <v>28</v>
      </c>
      <c r="D22" s="79">
        <v>23</v>
      </c>
      <c r="E22" s="88">
        <v>34</v>
      </c>
      <c r="F22" s="79">
        <v>38</v>
      </c>
      <c r="G22" s="77">
        <v>24</v>
      </c>
      <c r="H22" s="77">
        <v>35</v>
      </c>
      <c r="I22" s="533">
        <v>46</v>
      </c>
      <c r="J22" s="12"/>
    </row>
    <row r="23" spans="2:13" ht="22.5" customHeight="1" thickBot="1" x14ac:dyDescent="0.25">
      <c r="B23" s="79" t="s">
        <v>254</v>
      </c>
      <c r="C23" s="79">
        <v>43</v>
      </c>
      <c r="D23" s="79">
        <v>42</v>
      </c>
      <c r="E23" s="88">
        <v>47</v>
      </c>
      <c r="F23" s="79">
        <v>38</v>
      </c>
      <c r="G23" s="77">
        <v>21</v>
      </c>
      <c r="H23" s="77">
        <v>19</v>
      </c>
      <c r="I23" s="533">
        <v>51</v>
      </c>
      <c r="J23" s="12"/>
    </row>
    <row r="24" spans="2:13" ht="22.5" customHeight="1" thickBot="1" x14ac:dyDescent="0.25">
      <c r="B24" s="79" t="s">
        <v>426</v>
      </c>
      <c r="C24" s="79">
        <v>6</v>
      </c>
      <c r="D24" s="79">
        <v>4</v>
      </c>
      <c r="E24" s="88">
        <v>4</v>
      </c>
      <c r="F24" s="79">
        <v>8</v>
      </c>
      <c r="G24" s="77">
        <v>15</v>
      </c>
      <c r="H24" s="267">
        <v>8</v>
      </c>
      <c r="I24" s="534">
        <v>8</v>
      </c>
      <c r="J24" s="12"/>
    </row>
    <row r="25" spans="2:13" ht="22.5" customHeight="1" thickBot="1" x14ac:dyDescent="0.25">
      <c r="B25" s="79" t="s">
        <v>252</v>
      </c>
      <c r="C25" s="266">
        <v>11</v>
      </c>
      <c r="D25" s="79">
        <v>5</v>
      </c>
      <c r="E25" s="88">
        <v>7</v>
      </c>
      <c r="F25" s="79">
        <v>9</v>
      </c>
      <c r="G25" s="267">
        <v>10</v>
      </c>
      <c r="H25" s="267">
        <v>6</v>
      </c>
      <c r="I25" s="534">
        <v>7</v>
      </c>
      <c r="J25" s="12"/>
    </row>
    <row r="26" spans="2:13" ht="22.5" customHeight="1" thickBot="1" x14ac:dyDescent="0.25">
      <c r="B26" s="173" t="s">
        <v>427</v>
      </c>
      <c r="C26" s="147">
        <f t="shared" ref="C26:H26" si="0">COUNTIF(C14:C25,"&gt;=10")</f>
        <v>9</v>
      </c>
      <c r="D26" s="147">
        <f t="shared" si="0"/>
        <v>9</v>
      </c>
      <c r="E26" s="147">
        <f t="shared" si="0"/>
        <v>9</v>
      </c>
      <c r="F26" s="147">
        <f t="shared" si="0"/>
        <v>9</v>
      </c>
      <c r="G26" s="147">
        <f t="shared" si="0"/>
        <v>12</v>
      </c>
      <c r="H26" s="147">
        <f t="shared" si="0"/>
        <v>10</v>
      </c>
      <c r="I26" s="535">
        <v>10</v>
      </c>
      <c r="J26" s="12"/>
    </row>
    <row r="27" spans="2:13" ht="22.5" customHeight="1" thickBot="1" x14ac:dyDescent="0.25">
      <c r="B27" s="173" t="s">
        <v>428</v>
      </c>
      <c r="C27" s="147">
        <f t="shared" ref="C27:H27" si="1">COUNT(C14:C25)</f>
        <v>11</v>
      </c>
      <c r="D27" s="147">
        <f t="shared" si="1"/>
        <v>11</v>
      </c>
      <c r="E27" s="147">
        <f t="shared" si="1"/>
        <v>11</v>
      </c>
      <c r="F27" s="147">
        <f t="shared" si="1"/>
        <v>11</v>
      </c>
      <c r="G27" s="147">
        <f t="shared" si="1"/>
        <v>12</v>
      </c>
      <c r="H27" s="147">
        <f t="shared" si="1"/>
        <v>12</v>
      </c>
      <c r="I27" s="535">
        <v>12</v>
      </c>
      <c r="J27" s="12"/>
    </row>
    <row r="28" spans="2:13" ht="22.5" customHeight="1" thickBot="1" x14ac:dyDescent="0.25">
      <c r="B28" s="173" t="s">
        <v>289</v>
      </c>
      <c r="C28" s="147">
        <f>D5</f>
        <v>15</v>
      </c>
      <c r="D28" s="147">
        <f>D5</f>
        <v>15</v>
      </c>
      <c r="E28" s="147">
        <f>D5</f>
        <v>15</v>
      </c>
      <c r="F28" s="147">
        <f>D5</f>
        <v>15</v>
      </c>
      <c r="G28" s="147">
        <f>D5</f>
        <v>15</v>
      </c>
      <c r="H28" s="147">
        <f>D5</f>
        <v>15</v>
      </c>
      <c r="I28" s="464">
        <v>15</v>
      </c>
      <c r="J28" s="12"/>
    </row>
    <row r="29" spans="2:13" ht="22.5" customHeight="1" thickBot="1" x14ac:dyDescent="0.25">
      <c r="B29" s="173" t="s">
        <v>215</v>
      </c>
      <c r="C29" s="134">
        <f t="shared" ref="C29:H29" si="2">C26/C27</f>
        <v>0.81818181818181823</v>
      </c>
      <c r="D29" s="134">
        <f t="shared" si="2"/>
        <v>0.81818181818181823</v>
      </c>
      <c r="E29" s="134">
        <f t="shared" si="2"/>
        <v>0.81818181818181823</v>
      </c>
      <c r="F29" s="134">
        <f t="shared" si="2"/>
        <v>0.81818181818181823</v>
      </c>
      <c r="G29" s="144">
        <f t="shared" si="2"/>
        <v>1</v>
      </c>
      <c r="H29" s="134">
        <f t="shared" si="2"/>
        <v>0.83333333333333337</v>
      </c>
      <c r="I29" s="465">
        <v>0.83330000000000004</v>
      </c>
      <c r="J29" s="12"/>
    </row>
    <row r="30" spans="2:13" ht="22.5" customHeight="1" x14ac:dyDescent="0.2">
      <c r="B30" s="17"/>
      <c r="C30" s="12"/>
      <c r="D30" s="12"/>
      <c r="E30" s="12"/>
      <c r="F30" s="12"/>
      <c r="G30" s="12"/>
      <c r="H30" s="12"/>
      <c r="I30" s="12"/>
      <c r="J30" s="12"/>
    </row>
    <row r="31" spans="2:13" ht="22.5" customHeight="1" x14ac:dyDescent="0.2">
      <c r="B31" s="567" t="s">
        <v>469</v>
      </c>
      <c r="C31" s="1047"/>
      <c r="D31" s="1047"/>
      <c r="E31" s="1048"/>
      <c r="F31" s="12"/>
      <c r="G31" s="12"/>
      <c r="H31" s="12"/>
      <c r="I31" s="12"/>
      <c r="J31" s="62" t="s">
        <v>470</v>
      </c>
      <c r="K31" s="107"/>
      <c r="L31" s="107"/>
      <c r="M31" s="106"/>
    </row>
    <row r="32" spans="2:13" ht="22.5" customHeight="1" x14ac:dyDescent="0.2">
      <c r="J32" s="9"/>
      <c r="K32" s="9"/>
      <c r="L32" s="9"/>
      <c r="M32" s="9"/>
    </row>
    <row r="33" spans="2:13" ht="15" customHeight="1" x14ac:dyDescent="0.2">
      <c r="B33" s="18"/>
      <c r="C33" s="18"/>
      <c r="D33" s="19"/>
      <c r="E33" s="19"/>
      <c r="F33" s="19"/>
      <c r="G33" s="16"/>
      <c r="I33" s="16"/>
      <c r="J33" s="570" t="s">
        <v>429</v>
      </c>
      <c r="K33" s="571"/>
      <c r="L33" s="571"/>
      <c r="M33" s="572"/>
    </row>
    <row r="34" spans="2:13" ht="15" customHeight="1" x14ac:dyDescent="0.2">
      <c r="B34" s="18"/>
      <c r="C34" s="18"/>
      <c r="D34" s="19"/>
      <c r="E34" s="19"/>
      <c r="F34" s="19"/>
      <c r="G34" s="16"/>
      <c r="I34" s="16"/>
      <c r="J34" s="573"/>
      <c r="K34" s="574"/>
      <c r="L34" s="574"/>
      <c r="M34" s="575"/>
    </row>
    <row r="35" spans="2:13" ht="15" customHeight="1" x14ac:dyDescent="0.2">
      <c r="B35" s="18"/>
      <c r="C35" s="18"/>
      <c r="D35" s="19"/>
      <c r="E35" s="19"/>
      <c r="F35" s="19"/>
      <c r="G35" s="16"/>
      <c r="I35" s="16"/>
      <c r="J35" s="573"/>
      <c r="K35" s="574"/>
      <c r="L35" s="574"/>
      <c r="M35" s="575"/>
    </row>
    <row r="36" spans="2:13" ht="15" customHeight="1" x14ac:dyDescent="0.2">
      <c r="B36" s="18"/>
      <c r="C36" s="18"/>
      <c r="D36" s="19"/>
      <c r="E36" s="19"/>
      <c r="F36" s="19"/>
      <c r="G36" s="16"/>
      <c r="I36" s="16"/>
      <c r="J36" s="573"/>
      <c r="K36" s="574"/>
      <c r="L36" s="574"/>
      <c r="M36" s="575"/>
    </row>
    <row r="37" spans="2:13" ht="15" customHeight="1" x14ac:dyDescent="0.2">
      <c r="B37" s="18"/>
      <c r="C37" s="18"/>
      <c r="D37" s="19"/>
      <c r="E37" s="19"/>
      <c r="F37" s="19"/>
      <c r="G37" s="16"/>
      <c r="I37" s="16"/>
      <c r="J37" s="573"/>
      <c r="K37" s="574"/>
      <c r="L37" s="574"/>
      <c r="M37" s="575"/>
    </row>
    <row r="38" spans="2:13" ht="15" customHeight="1" x14ac:dyDescent="0.2">
      <c r="B38" s="18"/>
      <c r="C38" s="18"/>
      <c r="D38" s="19"/>
      <c r="E38" s="19"/>
      <c r="F38" s="19"/>
      <c r="G38" s="16"/>
      <c r="I38" s="16"/>
      <c r="J38" s="573"/>
      <c r="K38" s="574"/>
      <c r="L38" s="574"/>
      <c r="M38" s="575"/>
    </row>
    <row r="39" spans="2:13" ht="15" customHeight="1" x14ac:dyDescent="0.2">
      <c r="B39" s="18"/>
      <c r="C39" s="18"/>
      <c r="D39" s="19"/>
      <c r="E39" s="19"/>
      <c r="F39" s="19"/>
      <c r="G39" s="16"/>
      <c r="I39" s="16"/>
      <c r="J39" s="573"/>
      <c r="K39" s="574"/>
      <c r="L39" s="574"/>
      <c r="M39" s="575"/>
    </row>
    <row r="40" spans="2:13" ht="22.5" customHeight="1" x14ac:dyDescent="0.25">
      <c r="B40" s="7"/>
      <c r="C40" s="7"/>
      <c r="D40" s="6"/>
      <c r="E40" s="6"/>
      <c r="F40" s="6"/>
      <c r="G40" s="6"/>
      <c r="H40" s="6"/>
      <c r="I40" s="6"/>
      <c r="J40" s="573"/>
      <c r="K40" s="574"/>
      <c r="L40" s="574"/>
      <c r="M40" s="575"/>
    </row>
    <row r="41" spans="2:13" ht="22.5" customHeight="1" x14ac:dyDescent="0.2">
      <c r="B41" s="1062" t="s">
        <v>155</v>
      </c>
      <c r="C41" s="820"/>
      <c r="D41" s="820"/>
      <c r="E41" s="820"/>
      <c r="F41" s="8"/>
      <c r="J41" s="576"/>
      <c r="K41" s="577"/>
      <c r="L41" s="577"/>
      <c r="M41" s="578"/>
    </row>
    <row r="53" spans="8:10" ht="19.5" customHeight="1" x14ac:dyDescent="0.2">
      <c r="H53" s="559" t="s">
        <v>155</v>
      </c>
      <c r="I53" s="560"/>
      <c r="J53" s="560"/>
    </row>
  </sheetData>
  <sheetProtection formatCells="0" formatColumns="0" formatRows="0" insertColumns="0" insertRows="0" insertHyperlinks="0" deleteColumns="0" deleteRows="0" pivotTables="0"/>
  <mergeCells count="31">
    <mergeCell ref="B2:D2"/>
    <mergeCell ref="E2:J2"/>
    <mergeCell ref="B4:C4"/>
    <mergeCell ref="D4:E4"/>
    <mergeCell ref="F4:G4"/>
    <mergeCell ref="H4:J4"/>
    <mergeCell ref="B5:C5"/>
    <mergeCell ref="D5:E5"/>
    <mergeCell ref="F5:G5"/>
    <mergeCell ref="H5:J5"/>
    <mergeCell ref="F6:G6"/>
    <mergeCell ref="D6:E6"/>
    <mergeCell ref="H6:J6"/>
    <mergeCell ref="B11:J11"/>
    <mergeCell ref="B41:E41"/>
    <mergeCell ref="J33:M41"/>
    <mergeCell ref="H53:J53"/>
    <mergeCell ref="B31:E31"/>
    <mergeCell ref="B9:C9"/>
    <mergeCell ref="B8:C8"/>
    <mergeCell ref="B7:C7"/>
    <mergeCell ref="H8:J8"/>
    <mergeCell ref="B6:C6"/>
    <mergeCell ref="D9:E9"/>
    <mergeCell ref="F8:G8"/>
    <mergeCell ref="F7:G7"/>
    <mergeCell ref="D8:E8"/>
    <mergeCell ref="D7:E7"/>
    <mergeCell ref="H9:J9"/>
    <mergeCell ref="H7:J7"/>
    <mergeCell ref="F9:G9"/>
  </mergeCells>
  <conditionalFormatting sqref="C14:G25">
    <cfRule type="cellIs" dxfId="11" priority="1" operator="lessThan">
      <formula>10</formula>
    </cfRule>
  </conditionalFormatting>
  <pageMargins left="0.7" right="0.7" top="0.75" bottom="0.75" header="0" footer="0"/>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9171-99ED-48AB-8051-CF3B27A4D5F9}">
  <sheetPr>
    <tabColor theme="9" tint="-0.499984740745262"/>
    <pageSetUpPr fitToPage="1"/>
  </sheetPr>
  <dimension ref="B2:N50"/>
  <sheetViews>
    <sheetView showGridLines="0" topLeftCell="A2" workbookViewId="0">
      <selection activeCell="H4" sqref="H4:J4"/>
    </sheetView>
  </sheetViews>
  <sheetFormatPr defaultColWidth="12.5703125" defaultRowHeight="15.75" customHeight="1" x14ac:dyDescent="0.2"/>
  <cols>
    <col min="1" max="1" width="3.42578125" customWidth="1"/>
    <col min="2" max="2" width="14.140625" customWidth="1"/>
    <col min="3" max="3" width="16.7109375" customWidth="1"/>
    <col min="4" max="4" width="17.28515625" customWidth="1"/>
    <col min="5"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Índex!B70</f>
        <v xml:space="preserve"> PS5.03_Ind03. </v>
      </c>
      <c r="E4" s="716"/>
      <c r="F4" s="567" t="s">
        <v>194</v>
      </c>
      <c r="G4" s="569"/>
      <c r="H4" s="718" t="str">
        <f>Índex!C70</f>
        <v>Valoració mitjana a l’afirmació “La formació rebuda m’ha permès millorar les capacitats per a l’activitat professional”.</v>
      </c>
      <c r="I4" s="715"/>
      <c r="J4" s="716"/>
    </row>
    <row r="5" spans="2:10" ht="22.5" customHeight="1" x14ac:dyDescent="0.2">
      <c r="B5" s="567" t="s">
        <v>195</v>
      </c>
      <c r="C5" s="569"/>
      <c r="D5" s="875">
        <f>Índex!F70</f>
        <v>3.5</v>
      </c>
      <c r="E5" s="863"/>
      <c r="F5" s="567" t="s">
        <v>196</v>
      </c>
      <c r="G5" s="569"/>
      <c r="H5" s="718" t="s">
        <v>216</v>
      </c>
      <c r="I5" s="715"/>
      <c r="J5" s="716"/>
    </row>
    <row r="6" spans="2:10" ht="22.5" customHeight="1" x14ac:dyDescent="0.2">
      <c r="B6" s="567" t="s">
        <v>471</v>
      </c>
      <c r="C6" s="569"/>
      <c r="D6" s="718" t="str">
        <f>Índex!H70</f>
        <v>Objectiu de Qualitat. Grups d'interès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22.5" customHeight="1" x14ac:dyDescent="0.2">
      <c r="B8" s="567" t="s">
        <v>465</v>
      </c>
      <c r="C8" s="569"/>
      <c r="D8" s="718" t="str">
        <f>Índex!D70</f>
        <v xml:space="preserve">Vicedegà d’Alumnat i de Promoció  </v>
      </c>
      <c r="E8" s="716"/>
      <c r="F8" s="567" t="s">
        <v>472</v>
      </c>
      <c r="G8" s="569"/>
      <c r="H8" s="718" t="str">
        <f>Índex!E70</f>
        <v>Gestora de Qualitat</v>
      </c>
      <c r="I8" s="715"/>
      <c r="J8" s="716"/>
    </row>
    <row r="9" spans="2:10" ht="45.75" customHeight="1" x14ac:dyDescent="0.2">
      <c r="B9" s="567" t="s">
        <v>461</v>
      </c>
      <c r="C9" s="569"/>
      <c r="D9" s="718" t="str">
        <f>Índex!G70</f>
        <v>PS05.03. Inserció laboral</v>
      </c>
      <c r="E9" s="716"/>
      <c r="F9" s="567" t="s">
        <v>467</v>
      </c>
      <c r="G9" s="569"/>
      <c r="H9" s="718" t="s">
        <v>576</v>
      </c>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30" t="s">
        <v>155</v>
      </c>
      <c r="C12" s="12"/>
      <c r="D12" s="12"/>
      <c r="E12" s="12"/>
      <c r="F12" s="12"/>
      <c r="G12" s="12"/>
      <c r="H12" s="12"/>
      <c r="I12" s="12"/>
      <c r="J12" s="12"/>
    </row>
    <row r="13" spans="2:10" ht="22.5" customHeight="1" x14ac:dyDescent="0.2"/>
    <row r="14" spans="2:10" ht="22.5" customHeight="1" x14ac:dyDescent="0.2">
      <c r="B14" s="965"/>
      <c r="C14" s="966"/>
      <c r="D14" s="89" t="s">
        <v>200</v>
      </c>
      <c r="E14" s="89" t="s">
        <v>201</v>
      </c>
      <c r="F14" s="89" t="s">
        <v>202</v>
      </c>
      <c r="G14" s="89" t="s">
        <v>203</v>
      </c>
      <c r="H14" s="89" t="s">
        <v>204</v>
      </c>
      <c r="I14" s="89" t="s">
        <v>205</v>
      </c>
    </row>
    <row r="15" spans="2:10" ht="41.25" customHeight="1" x14ac:dyDescent="0.2">
      <c r="B15" s="739" t="s">
        <v>218</v>
      </c>
      <c r="C15" s="739"/>
      <c r="D15" s="395">
        <v>3.73</v>
      </c>
      <c r="E15" s="395" t="s">
        <v>282</v>
      </c>
      <c r="F15" s="396">
        <v>3.5</v>
      </c>
      <c r="G15" s="395">
        <v>4.4000000000000004</v>
      </c>
      <c r="H15" s="397">
        <v>3.12</v>
      </c>
      <c r="I15" s="332">
        <v>3.58</v>
      </c>
      <c r="J15" s="97"/>
    </row>
    <row r="16" spans="2:10" ht="41.25" customHeight="1" x14ac:dyDescent="0.2">
      <c r="B16" s="739" t="s">
        <v>235</v>
      </c>
      <c r="C16" s="739"/>
      <c r="D16" s="395" t="s">
        <v>282</v>
      </c>
      <c r="E16" s="395" t="s">
        <v>282</v>
      </c>
      <c r="F16" s="396">
        <v>3.4</v>
      </c>
      <c r="G16" s="395">
        <v>4</v>
      </c>
      <c r="H16" s="398">
        <v>3.86</v>
      </c>
      <c r="I16" s="398">
        <v>3.57</v>
      </c>
      <c r="J16" s="97"/>
    </row>
    <row r="17" spans="2:10" ht="41.25" customHeight="1" x14ac:dyDescent="0.2">
      <c r="B17" s="739" t="s">
        <v>262</v>
      </c>
      <c r="C17" s="739"/>
      <c r="D17" s="395" t="s">
        <v>282</v>
      </c>
      <c r="E17" s="395">
        <v>4</v>
      </c>
      <c r="F17" s="396">
        <v>4.5</v>
      </c>
      <c r="G17" s="395">
        <v>2.5</v>
      </c>
      <c r="H17" s="321">
        <v>4.67</v>
      </c>
      <c r="I17" s="321">
        <v>4.1100000000000003</v>
      </c>
      <c r="J17" s="97"/>
    </row>
    <row r="18" spans="2:10" ht="41.25" customHeight="1" x14ac:dyDescent="0.2">
      <c r="B18" s="739" t="s">
        <v>221</v>
      </c>
      <c r="C18" s="739"/>
      <c r="D18" s="395">
        <v>3.33</v>
      </c>
      <c r="E18" s="395">
        <v>3.52</v>
      </c>
      <c r="F18" s="396">
        <v>3.46</v>
      </c>
      <c r="G18" s="395">
        <v>2.5</v>
      </c>
      <c r="H18" s="321">
        <v>3.71</v>
      </c>
      <c r="I18" s="321">
        <v>3.8</v>
      </c>
      <c r="J18" s="97"/>
    </row>
    <row r="19" spans="2:10" ht="41.25" customHeight="1" x14ac:dyDescent="0.2">
      <c r="B19" s="739" t="s">
        <v>294</v>
      </c>
      <c r="C19" s="739"/>
      <c r="D19" s="395" t="s">
        <v>282</v>
      </c>
      <c r="E19" s="395" t="s">
        <v>282</v>
      </c>
      <c r="F19" s="396" t="s">
        <v>282</v>
      </c>
      <c r="G19" s="395">
        <v>3</v>
      </c>
      <c r="H19" s="321">
        <v>4</v>
      </c>
      <c r="I19" s="321">
        <v>4.1399999999999997</v>
      </c>
    </row>
    <row r="20" spans="2:10" ht="41.25" customHeight="1" x14ac:dyDescent="0.2">
      <c r="B20" s="739" t="s">
        <v>295</v>
      </c>
      <c r="C20" s="739"/>
      <c r="D20" s="395">
        <v>3.25</v>
      </c>
      <c r="E20" s="395">
        <v>4.1399999999999997</v>
      </c>
      <c r="F20" s="396" t="s">
        <v>282</v>
      </c>
      <c r="G20" s="395">
        <v>3.25</v>
      </c>
      <c r="H20" s="398">
        <v>4.13</v>
      </c>
      <c r="I20" s="398">
        <v>3.67</v>
      </c>
    </row>
    <row r="21" spans="2:10" ht="41.25" customHeight="1" x14ac:dyDescent="0.2">
      <c r="B21" s="739" t="s">
        <v>224</v>
      </c>
      <c r="C21" s="739"/>
      <c r="D21" s="395">
        <v>3.6</v>
      </c>
      <c r="E21" s="395" t="s">
        <v>282</v>
      </c>
      <c r="F21" s="396" t="s">
        <v>282</v>
      </c>
      <c r="G21" s="395" t="s">
        <v>282</v>
      </c>
      <c r="H21" s="398">
        <v>3.86</v>
      </c>
      <c r="I21" s="398" t="s">
        <v>213</v>
      </c>
    </row>
    <row r="22" spans="2:10" ht="41.25" customHeight="1" x14ac:dyDescent="0.2">
      <c r="B22" s="739" t="s">
        <v>225</v>
      </c>
      <c r="C22" s="739"/>
      <c r="D22" s="395" t="s">
        <v>213</v>
      </c>
      <c r="E22" s="395" t="s">
        <v>213</v>
      </c>
      <c r="F22" s="396" t="s">
        <v>213</v>
      </c>
      <c r="G22" s="395" t="s">
        <v>213</v>
      </c>
      <c r="H22" s="398">
        <v>4.8600000000000003</v>
      </c>
      <c r="I22" s="398">
        <v>4.3099999999999996</v>
      </c>
    </row>
    <row r="23" spans="2:10" ht="41.25" customHeight="1" x14ac:dyDescent="0.2">
      <c r="B23" s="739" t="s">
        <v>226</v>
      </c>
      <c r="C23" s="739"/>
      <c r="D23" s="395">
        <v>4.0999999999999996</v>
      </c>
      <c r="E23" s="395">
        <v>3.57</v>
      </c>
      <c r="F23" s="396">
        <v>4</v>
      </c>
      <c r="G23" s="395">
        <v>1.6</v>
      </c>
      <c r="H23" s="321">
        <v>3.87</v>
      </c>
      <c r="I23" s="321">
        <v>3.92</v>
      </c>
    </row>
    <row r="24" spans="2:10" ht="41.25" customHeight="1" x14ac:dyDescent="0.2">
      <c r="B24" s="739" t="s">
        <v>227</v>
      </c>
      <c r="C24" s="739"/>
      <c r="D24" s="395">
        <v>4.09</v>
      </c>
      <c r="E24" s="395">
        <v>4.4400000000000004</v>
      </c>
      <c r="F24" s="396">
        <v>4.4000000000000004</v>
      </c>
      <c r="G24" s="395">
        <v>2.5</v>
      </c>
      <c r="H24" s="321">
        <v>3.82</v>
      </c>
      <c r="I24" s="321">
        <v>3.73</v>
      </c>
    </row>
    <row r="25" spans="2:10" ht="41.25" customHeight="1" x14ac:dyDescent="0.2">
      <c r="B25" s="739" t="s">
        <v>228</v>
      </c>
      <c r="C25" s="739"/>
      <c r="D25" s="395">
        <v>3.71</v>
      </c>
      <c r="E25" s="395">
        <v>3.7</v>
      </c>
      <c r="F25" s="396">
        <v>3.08</v>
      </c>
      <c r="G25" s="395">
        <v>3.75</v>
      </c>
      <c r="H25" s="398">
        <v>3.89</v>
      </c>
      <c r="I25" s="398">
        <v>3.88</v>
      </c>
    </row>
    <row r="26" spans="2:10" ht="41.25" customHeight="1" x14ac:dyDescent="0.2">
      <c r="B26" s="739" t="s">
        <v>241</v>
      </c>
      <c r="C26" s="739"/>
      <c r="D26" s="395">
        <v>3</v>
      </c>
      <c r="E26" s="395" t="s">
        <v>282</v>
      </c>
      <c r="F26" s="396">
        <v>3.67</v>
      </c>
      <c r="G26" s="395" t="s">
        <v>282</v>
      </c>
      <c r="H26" s="398">
        <v>3.89</v>
      </c>
      <c r="I26" s="398">
        <v>3</v>
      </c>
    </row>
    <row r="27" spans="2:10" ht="41.25" customHeight="1" x14ac:dyDescent="0.2">
      <c r="B27" s="739" t="s">
        <v>266</v>
      </c>
      <c r="C27" s="739"/>
      <c r="D27" s="395">
        <v>3</v>
      </c>
      <c r="E27" s="395" t="s">
        <v>282</v>
      </c>
      <c r="F27" s="396" t="s">
        <v>282</v>
      </c>
      <c r="G27" s="395" t="s">
        <v>282</v>
      </c>
      <c r="H27" s="398">
        <v>3.88</v>
      </c>
      <c r="I27" s="398" t="s">
        <v>213</v>
      </c>
    </row>
    <row r="28" spans="2:10" ht="41.25" customHeight="1" x14ac:dyDescent="0.2">
      <c r="B28" s="739" t="s">
        <v>252</v>
      </c>
      <c r="C28" s="739"/>
      <c r="D28" s="395">
        <v>5</v>
      </c>
      <c r="E28" s="395" t="s">
        <v>282</v>
      </c>
      <c r="F28" s="396">
        <v>4.4400000000000004</v>
      </c>
      <c r="G28" s="395" t="s">
        <v>282</v>
      </c>
      <c r="H28" s="398">
        <v>3.6</v>
      </c>
      <c r="I28" s="398">
        <v>4.4000000000000004</v>
      </c>
    </row>
    <row r="29" spans="2:10" ht="41.25" customHeight="1" x14ac:dyDescent="0.2">
      <c r="B29" s="739" t="s">
        <v>244</v>
      </c>
      <c r="C29" s="739"/>
      <c r="D29" s="395">
        <v>4.5</v>
      </c>
      <c r="E29" s="395" t="s">
        <v>282</v>
      </c>
      <c r="F29" s="396" t="s">
        <v>282</v>
      </c>
      <c r="G29" s="395">
        <v>2</v>
      </c>
      <c r="H29" s="321">
        <v>4</v>
      </c>
      <c r="I29" s="321">
        <v>3.9</v>
      </c>
    </row>
    <row r="30" spans="2:10" ht="41.25" customHeight="1" x14ac:dyDescent="0.2">
      <c r="B30" s="739" t="s">
        <v>253</v>
      </c>
      <c r="C30" s="739"/>
      <c r="D30" s="395">
        <v>2</v>
      </c>
      <c r="E30" s="395" t="s">
        <v>282</v>
      </c>
      <c r="F30" s="396" t="s">
        <v>282</v>
      </c>
      <c r="G30" s="395">
        <v>2</v>
      </c>
      <c r="H30" s="321">
        <v>4.33</v>
      </c>
      <c r="I30" s="321" t="s">
        <v>213</v>
      </c>
    </row>
    <row r="31" spans="2:10" ht="41.25" customHeight="1" x14ac:dyDescent="0.2">
      <c r="B31" s="739" t="s">
        <v>245</v>
      </c>
      <c r="C31" s="739"/>
      <c r="D31" s="395">
        <v>4.5</v>
      </c>
      <c r="E31" s="395" t="s">
        <v>282</v>
      </c>
      <c r="F31" s="396" t="s">
        <v>282</v>
      </c>
      <c r="G31" s="395" t="s">
        <v>282</v>
      </c>
      <c r="H31" s="321" t="s">
        <v>282</v>
      </c>
      <c r="I31" s="321" t="s">
        <v>213</v>
      </c>
    </row>
    <row r="32" spans="2:10" ht="41.25" customHeight="1" x14ac:dyDescent="0.2">
      <c r="B32" s="739" t="s">
        <v>254</v>
      </c>
      <c r="C32" s="739"/>
      <c r="D32" s="395">
        <v>3.5</v>
      </c>
      <c r="E32" s="395" t="s">
        <v>282</v>
      </c>
      <c r="F32" s="396" t="s">
        <v>282</v>
      </c>
      <c r="G32" s="395">
        <v>3</v>
      </c>
      <c r="H32" s="321">
        <v>3.85</v>
      </c>
      <c r="I32" s="321" t="s">
        <v>213</v>
      </c>
    </row>
    <row r="33" spans="2:14" ht="22.5" customHeight="1" x14ac:dyDescent="0.2">
      <c r="B33" s="909">
        <f>D5</f>
        <v>3.5</v>
      </c>
      <c r="C33" s="909"/>
      <c r="D33" s="325">
        <f t="shared" ref="D33:I33" si="0">COUNTIF(D15:D32,"&gt;="&amp;D35)</f>
        <v>9</v>
      </c>
      <c r="E33" s="325">
        <f t="shared" si="0"/>
        <v>6</v>
      </c>
      <c r="F33" s="325">
        <f t="shared" si="0"/>
        <v>6</v>
      </c>
      <c r="G33" s="325">
        <f t="shared" si="0"/>
        <v>3</v>
      </c>
      <c r="H33" s="325">
        <f t="shared" si="0"/>
        <v>16</v>
      </c>
      <c r="I33" s="325">
        <f t="shared" si="0"/>
        <v>12</v>
      </c>
    </row>
    <row r="34" spans="2:14" ht="22.5" customHeight="1" x14ac:dyDescent="0.2">
      <c r="B34" s="734" t="s">
        <v>248</v>
      </c>
      <c r="C34" s="734"/>
      <c r="D34" s="325">
        <f t="shared" ref="D34:I34" si="1">COUNT(D15:D32)</f>
        <v>14</v>
      </c>
      <c r="E34" s="325">
        <f t="shared" si="1"/>
        <v>6</v>
      </c>
      <c r="F34" s="325">
        <f t="shared" si="1"/>
        <v>9</v>
      </c>
      <c r="G34" s="325">
        <f t="shared" si="1"/>
        <v>12</v>
      </c>
      <c r="H34" s="325">
        <f t="shared" si="1"/>
        <v>17</v>
      </c>
      <c r="I34" s="325">
        <f t="shared" si="1"/>
        <v>13</v>
      </c>
    </row>
    <row r="35" spans="2:14" ht="22.5" customHeight="1" x14ac:dyDescent="0.2">
      <c r="B35" s="799" t="s">
        <v>207</v>
      </c>
      <c r="C35" s="879"/>
      <c r="D35" s="56">
        <f t="shared" ref="D35:I35" si="2">$D$5</f>
        <v>3.5</v>
      </c>
      <c r="E35" s="56">
        <f t="shared" si="2"/>
        <v>3.5</v>
      </c>
      <c r="F35" s="56">
        <f t="shared" si="2"/>
        <v>3.5</v>
      </c>
      <c r="G35" s="56">
        <f t="shared" si="2"/>
        <v>3.5</v>
      </c>
      <c r="H35" s="56">
        <f t="shared" si="2"/>
        <v>3.5</v>
      </c>
      <c r="I35" s="56">
        <f t="shared" si="2"/>
        <v>3.5</v>
      </c>
    </row>
    <row r="36" spans="2:14" ht="22.5" customHeight="1" x14ac:dyDescent="0.2">
      <c r="B36" s="799" t="s">
        <v>208</v>
      </c>
      <c r="C36" s="879"/>
      <c r="D36" s="43">
        <f t="shared" ref="D36:I36" si="3">D33/D34</f>
        <v>0.6428571428571429</v>
      </c>
      <c r="E36" s="43">
        <f t="shared" si="3"/>
        <v>1</v>
      </c>
      <c r="F36" s="43">
        <f t="shared" si="3"/>
        <v>0.66666666666666663</v>
      </c>
      <c r="G36" s="43">
        <f t="shared" si="3"/>
        <v>0.25</v>
      </c>
      <c r="H36" s="43">
        <f t="shared" si="3"/>
        <v>0.94117647058823528</v>
      </c>
      <c r="I36" s="43">
        <f t="shared" si="3"/>
        <v>0.92307692307692313</v>
      </c>
      <c r="K36" s="801" t="s">
        <v>470</v>
      </c>
      <c r="L36" s="802"/>
      <c r="M36" s="802"/>
      <c r="N36" s="803"/>
    </row>
    <row r="37" spans="2:14" ht="22.5" customHeight="1" x14ac:dyDescent="0.25">
      <c r="B37" s="7"/>
      <c r="C37" s="7"/>
      <c r="D37" s="6"/>
      <c r="E37" s="6"/>
      <c r="F37" s="6"/>
      <c r="G37" s="6"/>
      <c r="H37" s="6"/>
      <c r="I37" s="6"/>
      <c r="K37" s="667" t="s">
        <v>430</v>
      </c>
      <c r="L37" s="667"/>
      <c r="M37" s="667"/>
      <c r="N37" s="667"/>
    </row>
    <row r="38" spans="2:14" ht="22.5" customHeight="1" x14ac:dyDescent="0.2">
      <c r="B38" s="567" t="s">
        <v>469</v>
      </c>
      <c r="C38" s="568"/>
      <c r="D38" s="568"/>
      <c r="E38" s="569"/>
      <c r="F38" s="8"/>
      <c r="K38" s="667"/>
      <c r="L38" s="667"/>
      <c r="M38" s="667"/>
      <c r="N38" s="667"/>
    </row>
    <row r="39" spans="2:14" ht="22.5" customHeight="1" x14ac:dyDescent="0.2">
      <c r="B39" s="8"/>
      <c r="C39" s="8"/>
      <c r="D39" s="8"/>
      <c r="E39" s="8"/>
      <c r="F39" s="8"/>
      <c r="K39" s="667"/>
      <c r="L39" s="667"/>
      <c r="M39" s="667"/>
      <c r="N39" s="667"/>
    </row>
    <row r="40" spans="2:14" ht="6" customHeight="1" x14ac:dyDescent="0.2">
      <c r="B40" s="8"/>
      <c r="C40" s="8"/>
      <c r="D40" s="8"/>
      <c r="E40" s="8"/>
      <c r="F40" s="8"/>
      <c r="K40" s="667"/>
      <c r="L40" s="667"/>
      <c r="M40" s="667"/>
      <c r="N40" s="667"/>
    </row>
    <row r="41" spans="2:14" ht="19.5" customHeight="1" x14ac:dyDescent="0.2">
      <c r="B41" s="8"/>
      <c r="C41" s="8"/>
      <c r="D41" s="8"/>
      <c r="E41" s="8"/>
      <c r="F41" s="8"/>
      <c r="K41" s="667"/>
      <c r="L41" s="667"/>
      <c r="M41" s="667"/>
      <c r="N41" s="667"/>
    </row>
    <row r="42" spans="2:14" ht="19.5" customHeight="1" x14ac:dyDescent="0.2">
      <c r="B42" s="8"/>
      <c r="C42" s="8"/>
      <c r="D42" s="8"/>
      <c r="E42" s="8"/>
      <c r="F42" s="8"/>
      <c r="K42" s="667"/>
      <c r="L42" s="667"/>
      <c r="M42" s="667"/>
      <c r="N42" s="667"/>
    </row>
    <row r="43" spans="2:14" ht="19.5" customHeight="1" x14ac:dyDescent="0.2">
      <c r="B43" s="8"/>
      <c r="C43" s="8"/>
      <c r="D43" s="8"/>
      <c r="E43" s="8"/>
      <c r="F43" s="8"/>
      <c r="K43" s="667"/>
      <c r="L43" s="667"/>
      <c r="M43" s="667"/>
      <c r="N43" s="667"/>
    </row>
    <row r="44" spans="2:14" ht="19.5" customHeight="1" x14ac:dyDescent="0.2">
      <c r="B44" s="8"/>
      <c r="C44" s="8"/>
      <c r="D44" s="8"/>
      <c r="E44" s="8"/>
      <c r="F44" s="8"/>
      <c r="K44" s="667"/>
      <c r="L44" s="667"/>
      <c r="M44" s="667"/>
      <c r="N44" s="667"/>
    </row>
    <row r="45" spans="2:14" ht="19.5" customHeight="1" x14ac:dyDescent="0.2">
      <c r="B45" s="8"/>
      <c r="C45" s="8"/>
      <c r="D45" s="8"/>
      <c r="E45" s="8"/>
      <c r="F45" s="8"/>
      <c r="K45" s="667"/>
      <c r="L45" s="667"/>
      <c r="M45" s="667"/>
      <c r="N45" s="667"/>
    </row>
    <row r="46" spans="2:14" ht="19.5" customHeight="1" x14ac:dyDescent="0.2">
      <c r="B46" s="8"/>
      <c r="C46" s="8"/>
      <c r="D46" s="8"/>
      <c r="E46" s="8"/>
      <c r="F46" s="8"/>
      <c r="K46" s="667"/>
      <c r="L46" s="667"/>
      <c r="M46" s="667"/>
      <c r="N46" s="667"/>
    </row>
    <row r="47" spans="2:14" ht="19.5" customHeight="1" x14ac:dyDescent="0.2">
      <c r="B47" s="8"/>
      <c r="C47" s="8"/>
      <c r="D47" s="8"/>
      <c r="E47" s="8"/>
      <c r="F47" s="8"/>
    </row>
    <row r="48" spans="2:14" ht="19.5" customHeight="1" x14ac:dyDescent="0.2">
      <c r="B48" s="8"/>
      <c r="C48" s="8"/>
      <c r="D48" s="8"/>
      <c r="E48" s="8"/>
      <c r="F48" s="8"/>
    </row>
    <row r="49" spans="8:10" ht="19.5" customHeight="1" x14ac:dyDescent="0.2"/>
    <row r="50" spans="8:10" ht="19.5" customHeight="1" x14ac:dyDescent="0.2">
      <c r="H50" s="559" t="s">
        <v>155</v>
      </c>
      <c r="I50" s="560"/>
      <c r="J50" s="560"/>
    </row>
  </sheetData>
  <sheetProtection formatCells="0" formatColumns="0" formatRows="0" insertColumns="0" insertRows="0" insertHyperlinks="0" deleteColumns="0" deleteRows="0" pivotTables="0"/>
  <mergeCells count="54">
    <mergeCell ref="B5:C5"/>
    <mergeCell ref="D5:E5"/>
    <mergeCell ref="F5:G5"/>
    <mergeCell ref="H5:J5"/>
    <mergeCell ref="B2:D2"/>
    <mergeCell ref="E2:J2"/>
    <mergeCell ref="B4:C4"/>
    <mergeCell ref="D4:E4"/>
    <mergeCell ref="F4:G4"/>
    <mergeCell ref="H4:J4"/>
    <mergeCell ref="B19:C19"/>
    <mergeCell ref="B9:C9"/>
    <mergeCell ref="B11:J11"/>
    <mergeCell ref="B15:C15"/>
    <mergeCell ref="B16:C16"/>
    <mergeCell ref="B17:C17"/>
    <mergeCell ref="B18:C18"/>
    <mergeCell ref="D9:E9"/>
    <mergeCell ref="F9:G9"/>
    <mergeCell ref="H9:J9"/>
    <mergeCell ref="B14:C14"/>
    <mergeCell ref="K37:N46"/>
    <mergeCell ref="K36:N36"/>
    <mergeCell ref="B32:C32"/>
    <mergeCell ref="B20:C20"/>
    <mergeCell ref="B21:C21"/>
    <mergeCell ref="B23:C23"/>
    <mergeCell ref="B24:C24"/>
    <mergeCell ref="B25:C25"/>
    <mergeCell ref="B26:C26"/>
    <mergeCell ref="B27:C27"/>
    <mergeCell ref="B28:C28"/>
    <mergeCell ref="B29:C29"/>
    <mergeCell ref="B30:C30"/>
    <mergeCell ref="B31:C31"/>
    <mergeCell ref="B22:C22"/>
    <mergeCell ref="H50:J50"/>
    <mergeCell ref="B33:C33"/>
    <mergeCell ref="B34:C34"/>
    <mergeCell ref="B35:C35"/>
    <mergeCell ref="B36:C36"/>
    <mergeCell ref="B38:E38"/>
    <mergeCell ref="H6:J6"/>
    <mergeCell ref="H7:J7"/>
    <mergeCell ref="B8:C8"/>
    <mergeCell ref="D8:E8"/>
    <mergeCell ref="F8:G8"/>
    <mergeCell ref="H8:J8"/>
    <mergeCell ref="F7:G7"/>
    <mergeCell ref="D7:E7"/>
    <mergeCell ref="B7:C7"/>
    <mergeCell ref="B6:C6"/>
    <mergeCell ref="D6:E6"/>
    <mergeCell ref="F6:G6"/>
  </mergeCells>
  <conditionalFormatting sqref="D15:I32">
    <cfRule type="cellIs" dxfId="10" priority="1" operator="lessThan">
      <formula>3.5</formula>
    </cfRule>
  </conditionalFormatting>
  <pageMargins left="0.7" right="0.7" top="0.75" bottom="0.75" header="0" footer="0"/>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8998F-6C66-4690-A776-1BF0D73A6802}">
  <sheetPr>
    <tabColor theme="9" tint="-0.499984740745262"/>
    <pageSetUpPr fitToPage="1"/>
  </sheetPr>
  <dimension ref="B2:N32"/>
  <sheetViews>
    <sheetView showGridLines="0" workbookViewId="0">
      <selection activeCell="H4" sqref="H4:J4"/>
    </sheetView>
  </sheetViews>
  <sheetFormatPr defaultColWidth="12.5703125" defaultRowHeight="15.75" customHeight="1" x14ac:dyDescent="0.2"/>
  <cols>
    <col min="1" max="1" width="3.42578125" customWidth="1"/>
    <col min="2" max="2" width="14.140625" customWidth="1"/>
    <col min="3" max="3" width="12.5703125" customWidth="1"/>
    <col min="4" max="4" width="17.28515625" bestFit="1" customWidth="1"/>
    <col min="5" max="5" width="16.28515625" customWidth="1"/>
    <col min="6"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788" t="s">
        <v>193</v>
      </c>
      <c r="C4" s="885"/>
      <c r="D4" s="800" t="str">
        <f>Índex!B71</f>
        <v>PS5.03_Ind04.</v>
      </c>
      <c r="E4" s="882"/>
      <c r="F4" s="788" t="s">
        <v>194</v>
      </c>
      <c r="G4" s="885"/>
      <c r="H4" s="800" t="str">
        <f>Índex!C71</f>
        <v>Evolució del nombre d'empreses (Indicador Pla Estratègic  2022/2023 fins 2024/2025). </v>
      </c>
      <c r="I4" s="882"/>
      <c r="J4" s="882"/>
    </row>
    <row r="5" spans="2:10" ht="22.5" customHeight="1" x14ac:dyDescent="0.2">
      <c r="B5" s="788" t="s">
        <v>285</v>
      </c>
      <c r="C5" s="885"/>
      <c r="D5" s="800">
        <f>Índex!F71</f>
        <v>10</v>
      </c>
      <c r="E5" s="882"/>
      <c r="F5" s="905" t="s">
        <v>196</v>
      </c>
      <c r="G5" s="885"/>
      <c r="H5" s="881" t="s">
        <v>212</v>
      </c>
      <c r="I5" s="882"/>
      <c r="J5" s="882"/>
    </row>
    <row r="6" spans="2:10" ht="22.5" customHeight="1" x14ac:dyDescent="0.2">
      <c r="B6" s="793" t="s">
        <v>648</v>
      </c>
      <c r="C6" s="795"/>
      <c r="D6" s="963" t="str">
        <f>Índex!H71</f>
        <v>Pla Estratègic</v>
      </c>
      <c r="E6" s="964"/>
      <c r="F6" s="883" t="s">
        <v>462</v>
      </c>
      <c r="G6" s="884"/>
      <c r="H6" s="960"/>
      <c r="I6" s="961"/>
      <c r="J6" s="962"/>
    </row>
    <row r="7" spans="2:10" ht="22.5" customHeight="1" x14ac:dyDescent="0.2">
      <c r="B7" s="793" t="s">
        <v>463</v>
      </c>
      <c r="C7" s="795"/>
      <c r="D7" s="963"/>
      <c r="E7" s="964"/>
      <c r="F7" s="883" t="s">
        <v>464</v>
      </c>
      <c r="G7" s="884"/>
      <c r="H7" s="960" t="s">
        <v>198</v>
      </c>
      <c r="I7" s="961"/>
      <c r="J7" s="962"/>
    </row>
    <row r="8" spans="2:10" ht="22.5" customHeight="1" x14ac:dyDescent="0.2">
      <c r="B8" s="793" t="s">
        <v>465</v>
      </c>
      <c r="C8" s="795"/>
      <c r="D8" s="963" t="str">
        <f>Índex!D71</f>
        <v xml:space="preserve">Vicedegà d’Alumnat i de Promoció  </v>
      </c>
      <c r="E8" s="964"/>
      <c r="F8" s="793" t="s">
        <v>637</v>
      </c>
      <c r="G8" s="795"/>
      <c r="H8" s="956" t="str">
        <f>Índex!E71</f>
        <v>Responsable de Pràctiques</v>
      </c>
      <c r="I8" s="957"/>
      <c r="J8" s="958"/>
    </row>
    <row r="9" spans="2:10" ht="22.5" customHeight="1" x14ac:dyDescent="0.2">
      <c r="B9" s="788" t="s">
        <v>461</v>
      </c>
      <c r="C9" s="885"/>
      <c r="D9" s="800" t="str">
        <f>Índex!G71</f>
        <v>PS05.03. Inserció laboral</v>
      </c>
      <c r="E9" s="882"/>
      <c r="F9" s="882"/>
      <c r="G9" s="882"/>
      <c r="H9" s="882"/>
      <c r="I9" s="882"/>
      <c r="J9" s="882"/>
    </row>
    <row r="10" spans="2:10" ht="7.5" customHeight="1" x14ac:dyDescent="0.2">
      <c r="B10" s="543"/>
      <c r="C10" s="543"/>
      <c r="D10" s="543"/>
      <c r="E10" s="543"/>
      <c r="F10" s="543"/>
      <c r="G10" s="543"/>
      <c r="H10" s="543"/>
      <c r="I10" s="543"/>
      <c r="J10" s="543"/>
    </row>
    <row r="11" spans="2:10" ht="22.5" customHeight="1" x14ac:dyDescent="0.2">
      <c r="B11" s="567" t="s">
        <v>645</v>
      </c>
      <c r="C11" s="1069"/>
      <c r="D11" s="1069"/>
      <c r="E11" s="1069"/>
      <c r="F11" s="1069"/>
      <c r="G11" s="1069"/>
      <c r="H11" s="1069"/>
      <c r="I11" s="1069"/>
      <c r="J11" s="1070"/>
    </row>
    <row r="12" spans="2:10" ht="22.5" customHeight="1" x14ac:dyDescent="0.2">
      <c r="B12" s="13"/>
      <c r="C12" s="12"/>
      <c r="D12" s="12"/>
      <c r="E12" s="12"/>
      <c r="F12" s="12"/>
      <c r="G12" s="12"/>
      <c r="H12" s="12"/>
      <c r="I12" s="12"/>
      <c r="J12" s="12"/>
    </row>
    <row r="13" spans="2:10" ht="22.5" customHeight="1" thickBot="1" x14ac:dyDescent="0.25"/>
    <row r="14" spans="2:10" ht="22.5" customHeight="1" thickBot="1" x14ac:dyDescent="0.25">
      <c r="B14" s="14"/>
      <c r="C14" s="14"/>
      <c r="D14" s="78" t="s">
        <v>201</v>
      </c>
      <c r="E14" s="78" t="s">
        <v>202</v>
      </c>
      <c r="F14" s="78" t="s">
        <v>203</v>
      </c>
      <c r="G14" s="78" t="s">
        <v>204</v>
      </c>
      <c r="H14" s="78" t="s">
        <v>205</v>
      </c>
      <c r="I14" s="123" t="s">
        <v>256</v>
      </c>
    </row>
    <row r="15" spans="2:10" ht="41.25" customHeight="1" thickBot="1" x14ac:dyDescent="0.25">
      <c r="B15" s="739" t="s">
        <v>431</v>
      </c>
      <c r="C15" s="813"/>
      <c r="D15" s="167" t="s">
        <v>213</v>
      </c>
      <c r="E15" s="167">
        <v>153</v>
      </c>
      <c r="F15" s="167">
        <v>159</v>
      </c>
      <c r="G15" s="167">
        <v>188</v>
      </c>
      <c r="H15" s="168">
        <v>233</v>
      </c>
      <c r="I15" s="122">
        <v>242</v>
      </c>
      <c r="J15" s="97"/>
    </row>
    <row r="16" spans="2:10" ht="22.5" customHeight="1" thickBot="1" x14ac:dyDescent="0.25">
      <c r="B16" s="734" t="s">
        <v>432</v>
      </c>
      <c r="C16" s="734"/>
      <c r="D16" s="45">
        <f>COUNT(D15:D15)</f>
        <v>0</v>
      </c>
      <c r="E16" s="45" t="s">
        <v>214</v>
      </c>
      <c r="F16" s="240">
        <v>6</v>
      </c>
      <c r="G16" s="240">
        <v>29</v>
      </c>
      <c r="H16" s="240">
        <v>45</v>
      </c>
      <c r="I16" s="466">
        <v>9</v>
      </c>
    </row>
    <row r="17" spans="2:14" ht="22.5" customHeight="1" thickBot="1" x14ac:dyDescent="0.25">
      <c r="B17" s="40" t="s">
        <v>207</v>
      </c>
      <c r="C17" s="11">
        <f>D5</f>
        <v>10</v>
      </c>
      <c r="D17" s="231" t="s">
        <v>377</v>
      </c>
      <c r="E17" s="231">
        <v>10</v>
      </c>
      <c r="F17" s="231">
        <v>10</v>
      </c>
      <c r="G17" s="231">
        <v>10</v>
      </c>
      <c r="H17" s="231">
        <v>10</v>
      </c>
      <c r="I17" s="466">
        <v>10</v>
      </c>
    </row>
    <row r="18" spans="2:14" ht="22.5" customHeight="1" thickBot="1" x14ac:dyDescent="0.25">
      <c r="B18" s="730" t="s">
        <v>208</v>
      </c>
      <c r="C18" s="787"/>
      <c r="D18" s="47" t="s">
        <v>213</v>
      </c>
      <c r="E18" s="47" t="s">
        <v>213</v>
      </c>
      <c r="F18" s="47">
        <f>F16/F17</f>
        <v>0.6</v>
      </c>
      <c r="G18" s="47">
        <f>G16/G17</f>
        <v>2.9</v>
      </c>
      <c r="H18" s="47">
        <f>H16/H17</f>
        <v>4.5</v>
      </c>
      <c r="I18" s="467">
        <v>0.9</v>
      </c>
    </row>
    <row r="20" spans="2:14" ht="22.5" customHeight="1" x14ac:dyDescent="0.2">
      <c r="B20" s="567" t="s">
        <v>646</v>
      </c>
      <c r="C20" s="568"/>
      <c r="D20" s="568"/>
      <c r="E20" s="569"/>
      <c r="F20" s="8"/>
      <c r="K20" s="567" t="s">
        <v>649</v>
      </c>
      <c r="L20" s="568"/>
      <c r="M20" s="568"/>
      <c r="N20" s="569"/>
    </row>
    <row r="21" spans="2:14" ht="22.5" customHeight="1" x14ac:dyDescent="0.2">
      <c r="B21" s="8"/>
      <c r="C21" s="8"/>
      <c r="D21" s="8"/>
      <c r="E21" s="8"/>
      <c r="F21" s="8"/>
      <c r="K21" s="9"/>
      <c r="L21" s="9"/>
      <c r="M21" s="9"/>
      <c r="N21" s="9"/>
    </row>
    <row r="22" spans="2:14" ht="6" customHeight="1" x14ac:dyDescent="0.2">
      <c r="B22" s="8"/>
      <c r="C22" s="8"/>
      <c r="D22" s="8"/>
      <c r="E22" s="8"/>
      <c r="F22" s="8"/>
      <c r="K22" s="709" t="s">
        <v>155</v>
      </c>
      <c r="L22" s="571"/>
      <c r="M22" s="571"/>
      <c r="N22" s="572"/>
    </row>
    <row r="23" spans="2:14" ht="19.5" customHeight="1" x14ac:dyDescent="0.2">
      <c r="B23" s="8"/>
      <c r="C23" s="8"/>
      <c r="D23" s="8"/>
      <c r="E23" s="8"/>
      <c r="F23" s="8"/>
      <c r="K23" s="573"/>
      <c r="L23" s="574"/>
      <c r="M23" s="574"/>
      <c r="N23" s="575"/>
    </row>
    <row r="24" spans="2:14" ht="19.5" customHeight="1" x14ac:dyDescent="0.2">
      <c r="B24" s="8"/>
      <c r="C24" s="8"/>
      <c r="D24" s="8"/>
      <c r="E24" s="8"/>
      <c r="F24" s="8"/>
      <c r="K24" s="573"/>
      <c r="L24" s="574"/>
      <c r="M24" s="574"/>
      <c r="N24" s="575"/>
    </row>
    <row r="25" spans="2:14" ht="19.5" customHeight="1" x14ac:dyDescent="0.2">
      <c r="B25" s="8"/>
      <c r="C25" s="8"/>
      <c r="D25" s="8"/>
      <c r="E25" s="8"/>
      <c r="F25" s="8"/>
      <c r="K25" s="573"/>
      <c r="L25" s="574"/>
      <c r="M25" s="574"/>
      <c r="N25" s="575"/>
    </row>
    <row r="26" spans="2:14" ht="19.5" customHeight="1" x14ac:dyDescent="0.2">
      <c r="B26" s="8"/>
      <c r="C26" s="8"/>
      <c r="D26" s="8"/>
      <c r="E26" s="8"/>
      <c r="F26" s="8"/>
      <c r="K26" s="573"/>
      <c r="L26" s="574"/>
      <c r="M26" s="574"/>
      <c r="N26" s="575"/>
    </row>
    <row r="27" spans="2:14" ht="19.5" customHeight="1" x14ac:dyDescent="0.2">
      <c r="B27" s="8"/>
      <c r="C27" s="8"/>
      <c r="D27" s="8"/>
      <c r="E27" s="8"/>
      <c r="F27" s="8"/>
      <c r="K27" s="573"/>
      <c r="L27" s="574"/>
      <c r="M27" s="574"/>
      <c r="N27" s="575"/>
    </row>
    <row r="28" spans="2:14" ht="19.5" customHeight="1" x14ac:dyDescent="0.2">
      <c r="B28" s="8"/>
      <c r="C28" s="8"/>
      <c r="D28" s="8"/>
      <c r="E28" s="8"/>
      <c r="F28" s="8"/>
      <c r="K28" s="573"/>
      <c r="L28" s="574"/>
      <c r="M28" s="574"/>
      <c r="N28" s="575"/>
    </row>
    <row r="29" spans="2:14" ht="19.5" customHeight="1" x14ac:dyDescent="0.2">
      <c r="B29" s="8"/>
      <c r="C29" s="8"/>
      <c r="D29" s="8"/>
      <c r="E29" s="8"/>
      <c r="F29" s="8"/>
      <c r="K29" s="573"/>
      <c r="L29" s="574"/>
      <c r="M29" s="574"/>
      <c r="N29" s="575"/>
    </row>
    <row r="30" spans="2:14" ht="19.5" customHeight="1" x14ac:dyDescent="0.2">
      <c r="B30" s="8"/>
      <c r="C30" s="8"/>
      <c r="D30" s="8"/>
      <c r="E30" s="8"/>
      <c r="F30" s="8"/>
      <c r="K30" s="576"/>
      <c r="L30" s="577"/>
      <c r="M30" s="577"/>
      <c r="N30" s="578"/>
    </row>
    <row r="31" spans="2:14" ht="19.5" customHeight="1" x14ac:dyDescent="0.2"/>
    <row r="32" spans="2:14" ht="19.5" customHeight="1" x14ac:dyDescent="0.2">
      <c r="H32" s="559" t="s">
        <v>155</v>
      </c>
      <c r="I32" s="560"/>
      <c r="J32" s="560"/>
    </row>
  </sheetData>
  <sheetProtection formatCells="0" formatColumns="0" formatRows="0" insertColumns="0" insertRows="0" insertHyperlinks="0" deleteColumns="0" deleteRows="0" pivotTables="0"/>
  <mergeCells count="32">
    <mergeCell ref="B2:D2"/>
    <mergeCell ref="E2:J2"/>
    <mergeCell ref="B4:C4"/>
    <mergeCell ref="D4:E4"/>
    <mergeCell ref="F4:G4"/>
    <mergeCell ref="H4:J4"/>
    <mergeCell ref="B16:C16"/>
    <mergeCell ref="B5:C5"/>
    <mergeCell ref="D5:E5"/>
    <mergeCell ref="F5:G5"/>
    <mergeCell ref="H5:J5"/>
    <mergeCell ref="B8:C8"/>
    <mergeCell ref="D8:E8"/>
    <mergeCell ref="F8:G8"/>
    <mergeCell ref="B9:C9"/>
    <mergeCell ref="D9:J9"/>
    <mergeCell ref="B11:J11"/>
    <mergeCell ref="B15:C15"/>
    <mergeCell ref="D7:E7"/>
    <mergeCell ref="D6:E6"/>
    <mergeCell ref="B7:C7"/>
    <mergeCell ref="B6:C6"/>
    <mergeCell ref="B18:C18"/>
    <mergeCell ref="B20:E20"/>
    <mergeCell ref="K20:N20"/>
    <mergeCell ref="K22:N30"/>
    <mergeCell ref="H32:J32"/>
    <mergeCell ref="H8:J8"/>
    <mergeCell ref="H7:J7"/>
    <mergeCell ref="H6:J6"/>
    <mergeCell ref="F7:G7"/>
    <mergeCell ref="F6:G6"/>
  </mergeCells>
  <conditionalFormatting sqref="D15:H15">
    <cfRule type="cellIs" dxfId="9" priority="1" operator="lessThan">
      <formula>0.55</formula>
    </cfRule>
  </conditionalFormatting>
  <pageMargins left="0.7" right="0.7" top="0.75" bottom="0.75" header="0" footer="0"/>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FB034-5802-4330-9618-CB0512CABB00}">
  <sheetPr>
    <tabColor theme="9" tint="-0.499984740745262"/>
    <pageSetUpPr fitToPage="1"/>
  </sheetPr>
  <dimension ref="B2:J52"/>
  <sheetViews>
    <sheetView showGridLines="0" tabSelected="1" topLeftCell="A13" workbookViewId="0">
      <selection activeCell="J18" sqref="J18:J23"/>
    </sheetView>
  </sheetViews>
  <sheetFormatPr defaultColWidth="12.5703125" defaultRowHeight="15.75" customHeight="1" x14ac:dyDescent="0.2"/>
  <cols>
    <col min="1" max="1" width="3.42578125" customWidth="1"/>
    <col min="2" max="2" width="14.140625" customWidth="1"/>
    <col min="3" max="3" width="17.7109375" customWidth="1"/>
    <col min="4" max="4" width="17.28515625" customWidth="1"/>
    <col min="5" max="9" width="12.5703125" customWidth="1"/>
    <col min="10" max="10" width="16.140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Índex!B72</f>
        <v xml:space="preserve"> PS5.04_Ind01. </v>
      </c>
      <c r="E4" s="716"/>
      <c r="F4" s="567" t="s">
        <v>194</v>
      </c>
      <c r="G4" s="569"/>
      <c r="H4" s="718" t="str">
        <f>Índex!C72</f>
        <v>Percentatge de participació a les enquestes d’avaluació docent, desglossat per titulacions.</v>
      </c>
      <c r="I4" s="715"/>
      <c r="J4" s="716"/>
    </row>
    <row r="5" spans="2:10" ht="22.5" customHeight="1" x14ac:dyDescent="0.2">
      <c r="B5" s="567" t="s">
        <v>195</v>
      </c>
      <c r="C5" s="569"/>
      <c r="D5" s="784">
        <f>Índex!F72</f>
        <v>0.4</v>
      </c>
      <c r="E5" s="785"/>
      <c r="F5" s="567" t="s">
        <v>196</v>
      </c>
      <c r="G5" s="569"/>
      <c r="H5" s="718" t="s">
        <v>197</v>
      </c>
      <c r="I5" s="715"/>
      <c r="J5" s="716"/>
    </row>
    <row r="6" spans="2:10" ht="22.5" customHeight="1" x14ac:dyDescent="0.2">
      <c r="B6" s="567" t="s">
        <v>471</v>
      </c>
      <c r="C6" s="569"/>
      <c r="D6" s="718" t="str">
        <f>Índex!H72</f>
        <v>Objectiu de Qualitat. Grups d'interès</v>
      </c>
      <c r="E6" s="716"/>
      <c r="F6" s="567" t="s">
        <v>462</v>
      </c>
      <c r="G6" s="569"/>
      <c r="H6" s="718"/>
      <c r="I6" s="715"/>
      <c r="J6" s="716"/>
    </row>
    <row r="7" spans="2:10" ht="22.5" customHeight="1" x14ac:dyDescent="0.2">
      <c r="B7" s="567" t="s">
        <v>463</v>
      </c>
      <c r="C7" s="569"/>
      <c r="D7" s="718"/>
      <c r="E7" s="716"/>
      <c r="F7" s="567" t="s">
        <v>580</v>
      </c>
      <c r="G7" s="569"/>
      <c r="H7" s="718" t="s">
        <v>198</v>
      </c>
      <c r="I7" s="715"/>
      <c r="J7" s="716"/>
    </row>
    <row r="8" spans="2:10" ht="22.5" customHeight="1" x14ac:dyDescent="0.2">
      <c r="B8" s="567" t="s">
        <v>465</v>
      </c>
      <c r="C8" s="569"/>
      <c r="D8" s="718" t="str">
        <f>Índex!D72</f>
        <v xml:space="preserve">Vicedegà d’Alumnat i de Promoció  </v>
      </c>
      <c r="E8" s="716"/>
      <c r="F8" s="567" t="s">
        <v>472</v>
      </c>
      <c r="G8" s="569"/>
      <c r="H8" s="718" t="str">
        <f>Índex!E72</f>
        <v>Gestora de Qualitat</v>
      </c>
      <c r="I8" s="715"/>
      <c r="J8" s="716"/>
    </row>
    <row r="9" spans="2:10" ht="38.25" customHeight="1" x14ac:dyDescent="0.2">
      <c r="B9" s="567" t="s">
        <v>461</v>
      </c>
      <c r="C9" s="569"/>
      <c r="D9" s="718" t="str">
        <f>Índex!G72</f>
        <v>PS5.04. Satisfacció dels Grups d’Interès</v>
      </c>
      <c r="E9" s="716"/>
      <c r="F9" s="567" t="s">
        <v>467</v>
      </c>
      <c r="G9" s="569"/>
      <c r="H9" s="718"/>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30" t="s">
        <v>155</v>
      </c>
      <c r="C12" s="12"/>
      <c r="D12" s="12"/>
      <c r="E12" s="12"/>
      <c r="F12" s="12"/>
      <c r="G12" s="12"/>
      <c r="H12" s="12"/>
      <c r="I12" s="12"/>
      <c r="J12" s="12"/>
    </row>
    <row r="13" spans="2:10" ht="22.5" customHeight="1" x14ac:dyDescent="0.2"/>
    <row r="14" spans="2:10" ht="22.5" customHeight="1" x14ac:dyDescent="0.2">
      <c r="B14" s="965"/>
      <c r="C14" s="966"/>
      <c r="D14" s="78" t="s">
        <v>200</v>
      </c>
      <c r="E14" s="78" t="s">
        <v>201</v>
      </c>
      <c r="F14" s="78" t="s">
        <v>202</v>
      </c>
      <c r="G14" s="78" t="s">
        <v>203</v>
      </c>
      <c r="H14" s="78" t="s">
        <v>204</v>
      </c>
      <c r="I14" s="78" t="s">
        <v>205</v>
      </c>
      <c r="J14" s="78" t="s">
        <v>256</v>
      </c>
    </row>
    <row r="15" spans="2:10" ht="41.25" customHeight="1" x14ac:dyDescent="0.2">
      <c r="B15" s="739" t="s">
        <v>218</v>
      </c>
      <c r="C15" s="813"/>
      <c r="D15" s="431">
        <f>(15.27%+29.87%)/2</f>
        <v>0.22570000000000001</v>
      </c>
      <c r="E15" s="431">
        <f>(15.4%+18%)/2</f>
        <v>0.16699999999999998</v>
      </c>
      <c r="F15" s="431">
        <f>(8.8%+10.4%)/2</f>
        <v>9.6000000000000002E-2</v>
      </c>
      <c r="G15" s="431">
        <v>0.2445</v>
      </c>
      <c r="H15" s="431">
        <v>0.2235</v>
      </c>
      <c r="I15" s="431">
        <v>0.38450000000000001</v>
      </c>
      <c r="J15" s="431">
        <v>0.29330000000000001</v>
      </c>
    </row>
    <row r="16" spans="2:10" ht="41.25" customHeight="1" x14ac:dyDescent="0.2">
      <c r="B16" s="739" t="s">
        <v>235</v>
      </c>
      <c r="C16" s="813"/>
      <c r="D16" s="431" t="s">
        <v>213</v>
      </c>
      <c r="E16" s="432" t="s">
        <v>213</v>
      </c>
      <c r="F16" s="432" t="s">
        <v>213</v>
      </c>
      <c r="G16" s="431">
        <v>0.23499999999999999</v>
      </c>
      <c r="H16" s="431">
        <v>0.2195</v>
      </c>
      <c r="I16" s="431">
        <v>0.35649999999999998</v>
      </c>
      <c r="J16" s="431">
        <v>0.28510000000000002</v>
      </c>
    </row>
    <row r="17" spans="2:10" ht="41.25" customHeight="1" x14ac:dyDescent="0.2">
      <c r="B17" s="739" t="s">
        <v>262</v>
      </c>
      <c r="C17" s="813"/>
      <c r="D17" s="431">
        <f>(26.5%+14.7%)/2</f>
        <v>0.20600000000000002</v>
      </c>
      <c r="E17" s="431">
        <f>(14.6%+24.5%)/2</f>
        <v>0.19550000000000001</v>
      </c>
      <c r="F17" s="431">
        <f>(10.3%+13.5%)/2</f>
        <v>0.11900000000000001</v>
      </c>
      <c r="G17" s="431">
        <v>0.27550000000000002</v>
      </c>
      <c r="H17" s="431">
        <v>0.17949999999999999</v>
      </c>
      <c r="I17" s="431">
        <v>0.32250000000000001</v>
      </c>
      <c r="J17" s="431">
        <v>0.21429999999999999</v>
      </c>
    </row>
    <row r="18" spans="2:10" ht="41.25" customHeight="1" x14ac:dyDescent="0.2">
      <c r="B18" s="739" t="s">
        <v>221</v>
      </c>
      <c r="C18" s="813"/>
      <c r="D18" s="431">
        <f>(48.8%+31.7%)/2</f>
        <v>0.40249999999999997</v>
      </c>
      <c r="E18" s="431">
        <f>(25.9%+16.9%)/2</f>
        <v>0.214</v>
      </c>
      <c r="F18" s="431">
        <f>(15.7%+6.6%)/2</f>
        <v>0.1115</v>
      </c>
      <c r="G18" s="431">
        <v>0.34599999999999997</v>
      </c>
      <c r="H18" s="431">
        <v>0.32250000000000001</v>
      </c>
      <c r="I18" s="431">
        <v>0.41949999999999998</v>
      </c>
      <c r="J18" s="1095">
        <v>0.37519999999999998</v>
      </c>
    </row>
    <row r="19" spans="2:10" ht="41.25" customHeight="1" x14ac:dyDescent="0.2">
      <c r="B19" s="1072" t="s">
        <v>294</v>
      </c>
      <c r="C19" s="1073"/>
      <c r="D19" s="431">
        <f>(33.3%+35%)/2</f>
        <v>0.34149999999999997</v>
      </c>
      <c r="E19" s="431">
        <f>(15.5%+27.4%)/2</f>
        <v>0.21449999999999997</v>
      </c>
      <c r="F19" s="431">
        <f>(5.4%+18.2%)/2</f>
        <v>0.11799999999999999</v>
      </c>
      <c r="G19" s="431">
        <v>0.39500000000000002</v>
      </c>
      <c r="H19" s="431">
        <v>0.41949999999999998</v>
      </c>
      <c r="I19" s="431">
        <v>0.36349999999999999</v>
      </c>
      <c r="J19" s="1095" t="s">
        <v>586</v>
      </c>
    </row>
    <row r="20" spans="2:10" ht="41.25" customHeight="1" x14ac:dyDescent="0.2">
      <c r="B20" s="1072" t="s">
        <v>295</v>
      </c>
      <c r="C20" s="1073"/>
      <c r="D20" s="431">
        <v>0.53600000000000003</v>
      </c>
      <c r="E20" s="431">
        <f>(15.7%+20.4%)/2</f>
        <v>0.18049999999999999</v>
      </c>
      <c r="F20" s="431">
        <f>(9.7%+13.5%)/2</f>
        <v>0.11599999999999999</v>
      </c>
      <c r="G20" s="431">
        <v>0.47549999999999998</v>
      </c>
      <c r="H20" s="431">
        <v>0.48599999999999999</v>
      </c>
      <c r="I20" s="431">
        <v>0.46949999999999997</v>
      </c>
      <c r="J20" s="1095">
        <v>0.2722</v>
      </c>
    </row>
    <row r="21" spans="2:10" ht="41.25" customHeight="1" x14ac:dyDescent="0.2">
      <c r="B21" s="1072" t="s">
        <v>224</v>
      </c>
      <c r="C21" s="1073"/>
      <c r="D21" s="431">
        <f>(17.5%+20%)/2</f>
        <v>0.1875</v>
      </c>
      <c r="E21" s="431">
        <f>(16.4%+27.1%)/2</f>
        <v>0.2175</v>
      </c>
      <c r="F21" s="431">
        <f>(7.3%+1.9%)/2</f>
        <v>4.5999999999999999E-2</v>
      </c>
      <c r="G21" s="431">
        <v>0.2215</v>
      </c>
      <c r="H21" s="431">
        <v>0.22950000000000001</v>
      </c>
      <c r="I21" s="431">
        <v>0.27</v>
      </c>
      <c r="J21" s="1095">
        <v>0.2359</v>
      </c>
    </row>
    <row r="22" spans="2:10" ht="41.25" customHeight="1" x14ac:dyDescent="0.2">
      <c r="B22" s="1073" t="s">
        <v>306</v>
      </c>
      <c r="C22" s="1074"/>
      <c r="D22" s="431">
        <f>(27.5%+58.2%)/2</f>
        <v>0.42850000000000005</v>
      </c>
      <c r="E22" s="431" t="s">
        <v>434</v>
      </c>
      <c r="F22" s="431" t="s">
        <v>434</v>
      </c>
      <c r="G22" s="431">
        <v>0.53400000000000003</v>
      </c>
      <c r="H22" s="431">
        <v>0.40050000000000002</v>
      </c>
      <c r="I22" s="431">
        <v>0.42449999999999999</v>
      </c>
      <c r="J22" s="1095">
        <v>0.3206</v>
      </c>
    </row>
    <row r="23" spans="2:10" ht="41.25" customHeight="1" x14ac:dyDescent="0.2">
      <c r="B23" s="1072" t="s">
        <v>226</v>
      </c>
      <c r="C23" s="1073"/>
      <c r="D23" s="431">
        <f>(27.8%+27.7%)/2</f>
        <v>0.27749999999999997</v>
      </c>
      <c r="E23" s="431">
        <f>(15.5%+25.2%)/2</f>
        <v>0.20350000000000001</v>
      </c>
      <c r="F23" s="431">
        <f>(8.5%+13.5%)/2</f>
        <v>0.11000000000000001</v>
      </c>
      <c r="G23" s="431">
        <v>0.39550000000000002</v>
      </c>
      <c r="H23" s="431">
        <v>0.39400000000000002</v>
      </c>
      <c r="I23" s="431">
        <v>0.32950000000000002</v>
      </c>
      <c r="J23" s="1095">
        <v>0.36449999999999999</v>
      </c>
    </row>
    <row r="24" spans="2:10" ht="41.25" customHeight="1" x14ac:dyDescent="0.2">
      <c r="B24" s="1072" t="s">
        <v>227</v>
      </c>
      <c r="C24" s="1073"/>
      <c r="D24" s="431">
        <f>(27.5%+19.3%)/2</f>
        <v>0.23400000000000001</v>
      </c>
      <c r="E24" s="431">
        <f>(14%+14%)/2</f>
        <v>0.14000000000000001</v>
      </c>
      <c r="F24" s="431">
        <f>(9.8%+2.4%)/2</f>
        <v>6.0999999999999999E-2</v>
      </c>
      <c r="G24" s="431">
        <v>0.26</v>
      </c>
      <c r="H24" s="431">
        <v>0.17749999999999999</v>
      </c>
      <c r="I24" s="431">
        <v>0.24099999999999999</v>
      </c>
      <c r="J24" s="431">
        <v>0.31280000000000002</v>
      </c>
    </row>
    <row r="25" spans="2:10" ht="41.25" customHeight="1" x14ac:dyDescent="0.2">
      <c r="B25" s="1072" t="s">
        <v>228</v>
      </c>
      <c r="C25" s="1073"/>
      <c r="D25" s="431">
        <f>(35%+29.8%)/2</f>
        <v>0.32399999999999995</v>
      </c>
      <c r="E25" s="431">
        <f>(13.1%+14.3%)/2</f>
        <v>0.13700000000000001</v>
      </c>
      <c r="F25" s="431">
        <f>(4.2%+8.1%)/2</f>
        <v>6.1499999999999999E-2</v>
      </c>
      <c r="G25" s="431">
        <v>0.17749999999999999</v>
      </c>
      <c r="H25" s="431">
        <v>0.19850000000000001</v>
      </c>
      <c r="I25" s="431">
        <v>0.24149999999999999</v>
      </c>
      <c r="J25" s="431">
        <v>0.2482</v>
      </c>
    </row>
    <row r="26" spans="2:10" ht="41.25" customHeight="1" x14ac:dyDescent="0.2">
      <c r="B26" s="739" t="s">
        <v>241</v>
      </c>
      <c r="C26" s="813"/>
      <c r="D26" s="431">
        <f>(7.7%+12%)/2</f>
        <v>9.8500000000000004E-2</v>
      </c>
      <c r="E26" s="431">
        <f>(24.4%+15.6%)/2</f>
        <v>0.2</v>
      </c>
      <c r="F26" s="431">
        <v>0.1111</v>
      </c>
      <c r="G26" s="431">
        <v>8.4500000000000006E-2</v>
      </c>
      <c r="H26" s="431">
        <v>0.10299999999999999</v>
      </c>
      <c r="I26" s="431">
        <v>0.17050000000000001</v>
      </c>
      <c r="J26" s="431">
        <v>0.2974</v>
      </c>
    </row>
    <row r="27" spans="2:10" ht="41.25" customHeight="1" x14ac:dyDescent="0.2">
      <c r="B27" s="739" t="s">
        <v>266</v>
      </c>
      <c r="C27" s="813"/>
      <c r="D27" s="431">
        <f>(14.7%+8.2%)/2</f>
        <v>0.11449999999999999</v>
      </c>
      <c r="E27" s="431">
        <f>(13.5%+37.8%)/2</f>
        <v>0.25649999999999995</v>
      </c>
      <c r="F27" s="431">
        <v>6.6699999999999995E-2</v>
      </c>
      <c r="G27" s="431">
        <v>0.222</v>
      </c>
      <c r="H27" s="431">
        <v>0.13300000000000001</v>
      </c>
      <c r="I27" s="431">
        <v>0.17199999999999999</v>
      </c>
      <c r="J27" s="431">
        <v>0.30299999999999999</v>
      </c>
    </row>
    <row r="28" spans="2:10" ht="41.25" customHeight="1" x14ac:dyDescent="0.2">
      <c r="B28" s="739" t="s">
        <v>252</v>
      </c>
      <c r="C28" s="813"/>
      <c r="D28" s="431">
        <f>(11.7%%+32%)/2</f>
        <v>0.16058500000000001</v>
      </c>
      <c r="E28" s="431">
        <f>(33.3%+30%)/2</f>
        <v>0.3165</v>
      </c>
      <c r="F28" s="431">
        <v>0.5625</v>
      </c>
      <c r="G28" s="431">
        <v>0.84499999999999997</v>
      </c>
      <c r="H28" s="431">
        <v>0.34599999999999997</v>
      </c>
      <c r="I28" s="431">
        <v>0.308</v>
      </c>
      <c r="J28" s="431">
        <v>0.34720000000000001</v>
      </c>
    </row>
    <row r="29" spans="2:10" ht="41.25" customHeight="1" x14ac:dyDescent="0.2">
      <c r="B29" s="739" t="s">
        <v>244</v>
      </c>
      <c r="C29" s="813"/>
      <c r="D29" s="431">
        <f>(9.6%+9.7%)/2</f>
        <v>9.6500000000000002E-2</v>
      </c>
      <c r="E29" s="431">
        <f>(4.7%+6.3%)/2</f>
        <v>5.5E-2</v>
      </c>
      <c r="F29" s="431">
        <v>3.1300000000000001E-2</v>
      </c>
      <c r="G29" s="431">
        <v>0.14899999999999999</v>
      </c>
      <c r="H29" s="431">
        <v>0.13400000000000001</v>
      </c>
      <c r="I29" s="431">
        <v>6.9000000000000006E-2</v>
      </c>
      <c r="J29" s="431">
        <v>5.5800000000000002E-2</v>
      </c>
    </row>
    <row r="30" spans="2:10" ht="41.25" customHeight="1" x14ac:dyDescent="0.2">
      <c r="B30" s="739" t="s">
        <v>253</v>
      </c>
      <c r="C30" s="813"/>
      <c r="D30" s="431">
        <f>(9.01%+8.6%)/2</f>
        <v>8.8049999999999989E-2</v>
      </c>
      <c r="E30" s="431">
        <f>(26.5%+32.7%)/2</f>
        <v>0.29600000000000004</v>
      </c>
      <c r="F30" s="431">
        <v>0.17649999999999999</v>
      </c>
      <c r="G30" s="431">
        <v>0.54500000000000004</v>
      </c>
      <c r="H30" s="431">
        <v>0.33300000000000002</v>
      </c>
      <c r="I30" s="431">
        <v>0.36099999999999999</v>
      </c>
      <c r="J30" s="431">
        <v>0.16569999999999999</v>
      </c>
    </row>
    <row r="31" spans="2:10" ht="41.25" customHeight="1" x14ac:dyDescent="0.2">
      <c r="B31" s="739" t="s">
        <v>245</v>
      </c>
      <c r="C31" s="813"/>
      <c r="D31" s="431" t="s">
        <v>435</v>
      </c>
      <c r="E31" s="431">
        <f>(100%+20%)/2</f>
        <v>0.6</v>
      </c>
      <c r="F31" s="431">
        <v>0</v>
      </c>
      <c r="G31" s="431">
        <v>0.5</v>
      </c>
      <c r="H31" s="431" t="s">
        <v>213</v>
      </c>
      <c r="I31" s="431" t="s">
        <v>213</v>
      </c>
      <c r="J31" s="431">
        <v>0.24</v>
      </c>
    </row>
    <row r="32" spans="2:10" ht="41.25" customHeight="1" x14ac:dyDescent="0.2">
      <c r="B32" s="815" t="s">
        <v>254</v>
      </c>
      <c r="C32" s="816"/>
      <c r="D32" s="433">
        <v>0.19400000000000001</v>
      </c>
      <c r="E32" s="433">
        <v>0.25</v>
      </c>
      <c r="F32" s="433">
        <v>6.9800000000000001E-2</v>
      </c>
      <c r="G32" s="433">
        <v>6.0999999999999999E-2</v>
      </c>
      <c r="H32" s="433">
        <v>0.21099999999999999</v>
      </c>
      <c r="I32" s="433">
        <v>0.72399999999999998</v>
      </c>
      <c r="J32" s="433">
        <v>0.14549999999999999</v>
      </c>
    </row>
    <row r="33" spans="2:10" ht="22.5" customHeight="1" x14ac:dyDescent="0.2">
      <c r="B33" s="732">
        <f>D5</f>
        <v>0.4</v>
      </c>
      <c r="C33" s="732"/>
      <c r="D33" s="67">
        <f t="shared" ref="D33:J33" si="0">COUNTIF(D15:D32,"&gt;="&amp;D35)</f>
        <v>3</v>
      </c>
      <c r="E33" s="67">
        <f t="shared" si="0"/>
        <v>1</v>
      </c>
      <c r="F33" s="67">
        <f t="shared" si="0"/>
        <v>1</v>
      </c>
      <c r="G33" s="67">
        <f t="shared" si="0"/>
        <v>5</v>
      </c>
      <c r="H33" s="67">
        <f t="shared" si="0"/>
        <v>3</v>
      </c>
      <c r="I33" s="67">
        <f t="shared" si="0"/>
        <v>4</v>
      </c>
      <c r="J33" s="67">
        <f t="shared" si="0"/>
        <v>0</v>
      </c>
    </row>
    <row r="34" spans="2:10" ht="22.5" customHeight="1" x14ac:dyDescent="0.2">
      <c r="B34" s="1071" t="s">
        <v>248</v>
      </c>
      <c r="C34" s="1071"/>
      <c r="D34" s="278">
        <f t="shared" ref="D34:J34" si="1">COUNT(D15:D32)</f>
        <v>16</v>
      </c>
      <c r="E34" s="278">
        <f t="shared" si="1"/>
        <v>16</v>
      </c>
      <c r="F34" s="278">
        <f t="shared" si="1"/>
        <v>16</v>
      </c>
      <c r="G34" s="278">
        <f t="shared" si="1"/>
        <v>18</v>
      </c>
      <c r="H34" s="278">
        <f t="shared" si="1"/>
        <v>17</v>
      </c>
      <c r="I34" s="278">
        <f t="shared" si="1"/>
        <v>17</v>
      </c>
      <c r="J34" s="278">
        <f t="shared" si="1"/>
        <v>17</v>
      </c>
    </row>
    <row r="35" spans="2:10" ht="22.5" customHeight="1" x14ac:dyDescent="0.2">
      <c r="B35" s="730" t="s">
        <v>207</v>
      </c>
      <c r="C35" s="787"/>
      <c r="D35" s="66">
        <f t="shared" ref="D35:J35" si="2">$D$5</f>
        <v>0.4</v>
      </c>
      <c r="E35" s="66">
        <f t="shared" si="2"/>
        <v>0.4</v>
      </c>
      <c r="F35" s="66">
        <f t="shared" si="2"/>
        <v>0.4</v>
      </c>
      <c r="G35" s="66">
        <f t="shared" si="2"/>
        <v>0.4</v>
      </c>
      <c r="H35" s="66">
        <f t="shared" si="2"/>
        <v>0.4</v>
      </c>
      <c r="I35" s="66">
        <f t="shared" si="2"/>
        <v>0.4</v>
      </c>
      <c r="J35" s="66">
        <f t="shared" si="2"/>
        <v>0.4</v>
      </c>
    </row>
    <row r="36" spans="2:10" ht="22.5" customHeight="1" x14ac:dyDescent="0.2">
      <c r="B36" s="730" t="s">
        <v>208</v>
      </c>
      <c r="C36" s="787"/>
      <c r="D36" s="43">
        <f t="shared" ref="D36:J36" si="3">D33/D34</f>
        <v>0.1875</v>
      </c>
      <c r="E36" s="43">
        <f t="shared" si="3"/>
        <v>6.25E-2</v>
      </c>
      <c r="F36" s="43">
        <f t="shared" si="3"/>
        <v>6.25E-2</v>
      </c>
      <c r="G36" s="43">
        <f t="shared" si="3"/>
        <v>0.27777777777777779</v>
      </c>
      <c r="H36" s="43">
        <f t="shared" si="3"/>
        <v>0.17647058823529413</v>
      </c>
      <c r="I36" s="43">
        <f t="shared" si="3"/>
        <v>0.23529411764705882</v>
      </c>
      <c r="J36" s="43">
        <f t="shared" si="3"/>
        <v>0</v>
      </c>
    </row>
    <row r="37" spans="2:10" ht="22.5" customHeight="1" x14ac:dyDescent="0.25">
      <c r="B37" s="7"/>
      <c r="C37" s="12"/>
      <c r="D37" s="415"/>
      <c r="E37" s="415"/>
      <c r="F37" s="415"/>
      <c r="G37" s="415"/>
      <c r="H37" s="415"/>
      <c r="I37" s="415"/>
      <c r="J37" s="415"/>
    </row>
    <row r="38" spans="2:10" ht="22.5" customHeight="1" x14ac:dyDescent="0.25">
      <c r="B38" s="7"/>
      <c r="C38" s="7"/>
      <c r="D38" s="415"/>
      <c r="E38" s="415"/>
      <c r="F38" s="415"/>
      <c r="G38" s="415"/>
      <c r="H38" s="415"/>
      <c r="I38" s="415"/>
      <c r="J38" s="415"/>
    </row>
    <row r="39" spans="2:10" ht="22.5" customHeight="1" x14ac:dyDescent="0.25">
      <c r="B39" s="7"/>
      <c r="D39" s="6"/>
      <c r="E39" s="6"/>
      <c r="F39" s="6"/>
      <c r="G39" s="6"/>
      <c r="H39" s="6"/>
      <c r="I39" s="6"/>
      <c r="J39" s="6"/>
    </row>
    <row r="40" spans="2:10" ht="22.5" customHeight="1" x14ac:dyDescent="0.2">
      <c r="B40" s="567" t="s">
        <v>469</v>
      </c>
      <c r="C40" s="568"/>
      <c r="D40" s="568"/>
      <c r="E40" s="569"/>
      <c r="F40" s="8"/>
      <c r="G40" s="567" t="s">
        <v>470</v>
      </c>
      <c r="H40" s="568"/>
      <c r="I40" s="568"/>
      <c r="J40" s="569"/>
    </row>
    <row r="41" spans="2:10" ht="22.5" customHeight="1" x14ac:dyDescent="0.2">
      <c r="B41" s="8"/>
      <c r="C41" s="8"/>
      <c r="D41" s="8"/>
      <c r="E41" s="8"/>
      <c r="F41" s="8"/>
      <c r="G41" s="9"/>
      <c r="H41" s="9"/>
      <c r="I41" s="9"/>
      <c r="J41" s="9"/>
    </row>
    <row r="42" spans="2:10" ht="6" customHeight="1" x14ac:dyDescent="0.2">
      <c r="B42" s="8"/>
      <c r="C42" s="8"/>
      <c r="D42" s="8"/>
      <c r="E42" s="8"/>
      <c r="F42" s="8"/>
      <c r="G42" s="709" t="s">
        <v>436</v>
      </c>
      <c r="H42" s="571"/>
      <c r="I42" s="571"/>
      <c r="J42" s="572"/>
    </row>
    <row r="43" spans="2:10" ht="19.5" customHeight="1" x14ac:dyDescent="0.2">
      <c r="B43" s="8"/>
      <c r="C43" s="8"/>
      <c r="D43" s="8"/>
      <c r="E43" s="8"/>
      <c r="F43" s="8"/>
      <c r="G43" s="573"/>
      <c r="H43" s="574"/>
      <c r="I43" s="574"/>
      <c r="J43" s="575"/>
    </row>
    <row r="44" spans="2:10" ht="19.5" customHeight="1" x14ac:dyDescent="0.2">
      <c r="B44" s="8"/>
      <c r="C44" s="8"/>
      <c r="D44" s="8"/>
      <c r="E44" s="8"/>
      <c r="F44" s="8"/>
      <c r="G44" s="573"/>
      <c r="H44" s="574"/>
      <c r="I44" s="574"/>
      <c r="J44" s="575"/>
    </row>
    <row r="45" spans="2:10" ht="19.5" customHeight="1" x14ac:dyDescent="0.2">
      <c r="B45" s="8"/>
      <c r="C45" s="8"/>
      <c r="D45" s="8"/>
      <c r="E45" s="8"/>
      <c r="F45" s="8"/>
      <c r="G45" s="573"/>
      <c r="H45" s="574"/>
      <c r="I45" s="574"/>
      <c r="J45" s="575"/>
    </row>
    <row r="46" spans="2:10" ht="19.5" customHeight="1" x14ac:dyDescent="0.2">
      <c r="B46" s="8"/>
      <c r="C46" s="8"/>
      <c r="D46" s="8"/>
      <c r="E46" s="8"/>
      <c r="F46" s="8"/>
      <c r="G46" s="573"/>
      <c r="H46" s="574"/>
      <c r="I46" s="574"/>
      <c r="J46" s="575"/>
    </row>
    <row r="47" spans="2:10" ht="19.5" customHeight="1" x14ac:dyDescent="0.2">
      <c r="B47" s="8"/>
      <c r="C47" s="8"/>
      <c r="D47" s="8"/>
      <c r="E47" s="8"/>
      <c r="F47" s="8"/>
      <c r="G47" s="573"/>
      <c r="H47" s="574"/>
      <c r="I47" s="574"/>
      <c r="J47" s="575"/>
    </row>
    <row r="48" spans="2:10" ht="19.5" customHeight="1" x14ac:dyDescent="0.2">
      <c r="B48" s="8"/>
      <c r="C48" s="8"/>
      <c r="D48" s="8"/>
      <c r="E48" s="8"/>
      <c r="F48" s="8"/>
      <c r="G48" s="573"/>
      <c r="H48" s="574"/>
      <c r="I48" s="574"/>
      <c r="J48" s="575"/>
    </row>
    <row r="49" spans="2:10" ht="19.5" customHeight="1" x14ac:dyDescent="0.2">
      <c r="B49" s="8"/>
      <c r="C49" s="8"/>
      <c r="D49" s="8"/>
      <c r="E49" s="8"/>
      <c r="F49" s="8"/>
      <c r="G49" s="573"/>
      <c r="H49" s="574"/>
      <c r="I49" s="574"/>
      <c r="J49" s="575"/>
    </row>
    <row r="50" spans="2:10" ht="19.5" customHeight="1" x14ac:dyDescent="0.2">
      <c r="B50" s="8"/>
      <c r="C50" s="8"/>
      <c r="D50" s="8"/>
      <c r="E50" s="8"/>
      <c r="F50" s="8"/>
      <c r="G50" s="576"/>
      <c r="H50" s="577"/>
      <c r="I50" s="577"/>
      <c r="J50" s="578"/>
    </row>
    <row r="51" spans="2:10" ht="19.5" customHeight="1" x14ac:dyDescent="0.2"/>
    <row r="52" spans="2:10" ht="19.5" customHeight="1" x14ac:dyDescent="0.2">
      <c r="H52" s="559"/>
      <c r="I52" s="560"/>
      <c r="J52" s="560"/>
    </row>
  </sheetData>
  <sheetProtection formatCells="0" formatColumns="0" formatRows="0" insertColumns="0" insertRows="0" insertHyperlinks="0" deleteColumns="0" deleteRows="0" pivotTables="0"/>
  <mergeCells count="54">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B19:C19"/>
    <mergeCell ref="B9:C9"/>
    <mergeCell ref="B11:J11"/>
    <mergeCell ref="B15:C15"/>
    <mergeCell ref="B16:C16"/>
    <mergeCell ref="B17:C17"/>
    <mergeCell ref="B18:C18"/>
    <mergeCell ref="B14:C14"/>
    <mergeCell ref="B32:C32"/>
    <mergeCell ref="B20:C20"/>
    <mergeCell ref="B21:C21"/>
    <mergeCell ref="B23:C23"/>
    <mergeCell ref="B24:C24"/>
    <mergeCell ref="B25:C25"/>
    <mergeCell ref="B26:C26"/>
    <mergeCell ref="B27:C27"/>
    <mergeCell ref="B28:C28"/>
    <mergeCell ref="B29:C29"/>
    <mergeCell ref="B30:C30"/>
    <mergeCell ref="B31:C31"/>
    <mergeCell ref="B22:C22"/>
    <mergeCell ref="G42:J50"/>
    <mergeCell ref="H52:J52"/>
    <mergeCell ref="B33:C33"/>
    <mergeCell ref="B34:C34"/>
    <mergeCell ref="B35:C35"/>
    <mergeCell ref="B36:C36"/>
    <mergeCell ref="B40:E40"/>
    <mergeCell ref="G40:J40"/>
    <mergeCell ref="B8:C8"/>
    <mergeCell ref="D8:E8"/>
    <mergeCell ref="F8:G8"/>
    <mergeCell ref="H8:J8"/>
    <mergeCell ref="D9:E9"/>
    <mergeCell ref="F9:G9"/>
    <mergeCell ref="H9:J9"/>
  </mergeCells>
  <phoneticPr fontId="95" type="noConversion"/>
  <conditionalFormatting sqref="D15:J32">
    <cfRule type="cellIs" dxfId="8" priority="1" operator="between">
      <formula>0</formula>
      <formula>0.36</formula>
    </cfRule>
  </conditionalFormatting>
  <pageMargins left="0.7" right="0.7" top="0.75" bottom="0.75" header="0" footer="0"/>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A319D-8846-499F-9FCC-4EF8C057FBE3}">
  <sheetPr>
    <tabColor theme="9" tint="-0.499984740745262"/>
    <pageSetUpPr fitToPage="1"/>
  </sheetPr>
  <dimension ref="B2:U51"/>
  <sheetViews>
    <sheetView showGridLines="0" zoomScale="82" zoomScaleNormal="82" workbookViewId="0">
      <selection activeCell="U6" sqref="U6"/>
    </sheetView>
  </sheetViews>
  <sheetFormatPr defaultColWidth="12.5703125" defaultRowHeight="15.75" customHeight="1" x14ac:dyDescent="0.2"/>
  <cols>
    <col min="1" max="1" width="3.42578125" customWidth="1"/>
    <col min="2" max="2" width="14.140625" customWidth="1"/>
    <col min="3" max="4" width="20.140625" customWidth="1"/>
    <col min="5" max="9" width="12.5703125" customWidth="1"/>
    <col min="10" max="10" width="14.85546875" customWidth="1"/>
    <col min="11" max="20" width="7.5703125" customWidth="1"/>
  </cols>
  <sheetData>
    <row r="2" spans="2:21" ht="55.5" customHeight="1" x14ac:dyDescent="0.2">
      <c r="B2" s="714"/>
      <c r="C2" s="715"/>
      <c r="D2" s="716"/>
      <c r="E2" s="717" t="s">
        <v>192</v>
      </c>
      <c r="F2" s="715"/>
      <c r="G2" s="715"/>
      <c r="H2" s="715"/>
      <c r="I2" s="715"/>
      <c r="J2" s="716"/>
    </row>
    <row r="3" spans="2:21" ht="22.5" customHeight="1" x14ac:dyDescent="0.2">
      <c r="B3" s="41"/>
      <c r="C3" s="41"/>
      <c r="D3" s="42"/>
      <c r="E3" s="42"/>
      <c r="F3" s="42"/>
      <c r="G3" s="42"/>
      <c r="H3" s="42"/>
      <c r="I3" s="42"/>
    </row>
    <row r="4" spans="2:21" ht="42" customHeight="1" x14ac:dyDescent="0.2">
      <c r="B4" s="567" t="s">
        <v>193</v>
      </c>
      <c r="C4" s="569"/>
      <c r="D4" s="718" t="str">
        <f>Índex!B73</f>
        <v xml:space="preserve"> PS5.04_Ind02. </v>
      </c>
      <c r="E4" s="716"/>
      <c r="F4" s="567" t="s">
        <v>194</v>
      </c>
      <c r="G4" s="569"/>
      <c r="H4" s="718" t="str">
        <f>Índex!C73</f>
        <v>Percentatge de participació a les enquestes de satisfacció de les assignatures, desglossat per titulacions.</v>
      </c>
      <c r="I4" s="715"/>
      <c r="J4" s="716"/>
    </row>
    <row r="5" spans="2:21" ht="22.5" customHeight="1" x14ac:dyDescent="0.2">
      <c r="B5" s="567" t="s">
        <v>195</v>
      </c>
      <c r="C5" s="569"/>
      <c r="D5" s="784">
        <f>Índex!F73</f>
        <v>0.4</v>
      </c>
      <c r="E5" s="785"/>
      <c r="F5" s="567" t="s">
        <v>196</v>
      </c>
      <c r="G5" s="569"/>
      <c r="H5" s="718" t="s">
        <v>197</v>
      </c>
      <c r="I5" s="715"/>
      <c r="J5" s="716"/>
    </row>
    <row r="6" spans="2:21" ht="22.5" customHeight="1" x14ac:dyDescent="0.2">
      <c r="B6" s="567" t="s">
        <v>471</v>
      </c>
      <c r="C6" s="569"/>
      <c r="D6" s="718" t="str">
        <f>Índex!H73</f>
        <v>Objectiu de Qualitat. Grups d'interès</v>
      </c>
      <c r="E6" s="716"/>
      <c r="F6" s="567" t="s">
        <v>462</v>
      </c>
      <c r="G6" s="569"/>
      <c r="H6" s="718"/>
      <c r="I6" s="715"/>
      <c r="J6" s="716"/>
    </row>
    <row r="7" spans="2:21" ht="22.5" customHeight="1" x14ac:dyDescent="0.2">
      <c r="B7" s="567" t="s">
        <v>463</v>
      </c>
      <c r="C7" s="569"/>
      <c r="D7" s="718"/>
      <c r="E7" s="716"/>
      <c r="F7" s="567" t="s">
        <v>581</v>
      </c>
      <c r="G7" s="569"/>
      <c r="H7" s="718" t="s">
        <v>198</v>
      </c>
      <c r="I7" s="715"/>
      <c r="J7" s="716"/>
    </row>
    <row r="8" spans="2:21" ht="22.5" customHeight="1" x14ac:dyDescent="0.2">
      <c r="B8" s="567" t="s">
        <v>465</v>
      </c>
      <c r="C8" s="569"/>
      <c r="D8" s="718" t="str">
        <f>Índex!D73</f>
        <v xml:space="preserve">Vicedegà d’Alumnat i de Promoció  </v>
      </c>
      <c r="E8" s="716"/>
      <c r="F8" s="567" t="s">
        <v>472</v>
      </c>
      <c r="G8" s="569"/>
      <c r="H8" s="718" t="str">
        <f>Índex!E73</f>
        <v>Gestora de Qualitat</v>
      </c>
      <c r="I8" s="715"/>
      <c r="J8" s="716"/>
    </row>
    <row r="9" spans="2:21" ht="42.75" customHeight="1" x14ac:dyDescent="0.2">
      <c r="B9" s="567" t="s">
        <v>461</v>
      </c>
      <c r="C9" s="569"/>
      <c r="D9" s="718" t="str">
        <f>Índex!G73</f>
        <v>PS5.04. Satisfacció dels Grups d’Interès</v>
      </c>
      <c r="E9" s="716"/>
      <c r="F9" s="567" t="s">
        <v>467</v>
      </c>
      <c r="G9" s="569"/>
      <c r="H9" s="718"/>
      <c r="I9" s="715"/>
      <c r="J9" s="716"/>
    </row>
    <row r="10" spans="2:21" ht="7.5" customHeight="1" x14ac:dyDescent="0.2">
      <c r="B10" s="1075"/>
      <c r="C10" s="820"/>
      <c r="D10" s="1075"/>
      <c r="E10" s="820"/>
      <c r="F10" s="1062"/>
      <c r="G10" s="820"/>
      <c r="H10" s="1080"/>
      <c r="I10" s="820"/>
      <c r="J10" s="820"/>
    </row>
    <row r="11" spans="2:21" ht="7.5" customHeight="1" x14ac:dyDescent="0.2">
      <c r="B11" s="416"/>
      <c r="C11" s="12"/>
      <c r="D11" s="416"/>
      <c r="E11" s="12"/>
      <c r="F11" s="127"/>
      <c r="G11" s="12"/>
      <c r="H11" s="417"/>
      <c r="I11" s="12"/>
      <c r="J11" s="12"/>
    </row>
    <row r="12" spans="2:21" ht="22.5" customHeight="1" x14ac:dyDescent="0.2">
      <c r="B12" s="788" t="s">
        <v>468</v>
      </c>
      <c r="C12" s="789"/>
      <c r="D12" s="789"/>
      <c r="E12" s="789"/>
      <c r="F12" s="789"/>
      <c r="G12" s="789"/>
      <c r="H12" s="789"/>
      <c r="I12" s="789"/>
      <c r="J12" s="789"/>
    </row>
    <row r="13" spans="2:21" ht="22.5" customHeight="1" x14ac:dyDescent="0.2">
      <c r="B13" s="30" t="s">
        <v>155</v>
      </c>
      <c r="C13" s="12"/>
      <c r="D13" s="12"/>
      <c r="E13" s="12"/>
      <c r="F13" s="12"/>
      <c r="G13" s="12"/>
      <c r="H13" s="12"/>
      <c r="I13" s="12"/>
      <c r="J13" s="12"/>
    </row>
    <row r="14" spans="2:21" ht="22.5" customHeight="1" x14ac:dyDescent="0.2"/>
    <row r="15" spans="2:21" ht="22.5" customHeight="1" x14ac:dyDescent="0.2">
      <c r="B15" s="14"/>
      <c r="C15" s="14"/>
      <c r="D15" s="78" t="s">
        <v>200</v>
      </c>
      <c r="E15" s="78" t="s">
        <v>201</v>
      </c>
      <c r="F15" s="78" t="s">
        <v>202</v>
      </c>
      <c r="G15" s="78" t="s">
        <v>203</v>
      </c>
      <c r="H15" s="78" t="s">
        <v>204</v>
      </c>
      <c r="I15" s="78" t="s">
        <v>205</v>
      </c>
      <c r="J15" s="78" t="s">
        <v>256</v>
      </c>
      <c r="R15" s="788" t="s">
        <v>470</v>
      </c>
      <c r="S15" s="789"/>
      <c r="T15" s="789"/>
      <c r="U15" s="789"/>
    </row>
    <row r="16" spans="2:21" ht="41.25" customHeight="1" x14ac:dyDescent="0.2">
      <c r="B16" s="739" t="s">
        <v>218</v>
      </c>
      <c r="C16" s="739"/>
      <c r="D16" s="104">
        <f>(15.27%+29.87%)/2</f>
        <v>0.22570000000000001</v>
      </c>
      <c r="E16" s="104">
        <f>(22.81%+29.87%)/2</f>
        <v>0.26340000000000002</v>
      </c>
      <c r="F16" s="104">
        <v>0.21440000000000001</v>
      </c>
      <c r="G16" s="104">
        <f>(14.28%+ 16.36%)/2</f>
        <v>0.1532</v>
      </c>
      <c r="H16" s="104">
        <f>(20.04%+ 28.29%)/2</f>
        <v>0.24164999999999998</v>
      </c>
      <c r="I16" s="104">
        <v>0.36530000000000001</v>
      </c>
      <c r="J16" s="104">
        <v>0.31440000000000001</v>
      </c>
      <c r="R16" s="667" t="s">
        <v>437</v>
      </c>
      <c r="S16" s="667"/>
      <c r="T16" s="667"/>
      <c r="U16" s="667"/>
    </row>
    <row r="17" spans="2:21" ht="41.25" customHeight="1" x14ac:dyDescent="0.2">
      <c r="B17" s="1077" t="s">
        <v>235</v>
      </c>
      <c r="C17" s="1077"/>
      <c r="D17" s="150" t="s">
        <v>213</v>
      </c>
      <c r="E17" s="150" t="s">
        <v>213</v>
      </c>
      <c r="F17" s="150">
        <v>0.24709999999999999</v>
      </c>
      <c r="G17" s="150" t="s">
        <v>213</v>
      </c>
      <c r="H17" s="104" t="s">
        <v>213</v>
      </c>
      <c r="I17" s="104" t="s">
        <v>213</v>
      </c>
      <c r="J17" s="104">
        <v>0.36099999999999999</v>
      </c>
      <c r="R17" s="667"/>
      <c r="S17" s="667"/>
      <c r="T17" s="667"/>
      <c r="U17" s="667"/>
    </row>
    <row r="18" spans="2:21" ht="41.25" customHeight="1" x14ac:dyDescent="0.2">
      <c r="B18" s="1077" t="s">
        <v>262</v>
      </c>
      <c r="C18" s="1077"/>
      <c r="D18" s="150">
        <f>(17.59%+15.18%)/2</f>
        <v>0.16385</v>
      </c>
      <c r="E18" s="150">
        <f>(17.62%+15.18%)/2</f>
        <v>0.16400000000000001</v>
      </c>
      <c r="F18" s="150">
        <v>0.15620000000000001</v>
      </c>
      <c r="G18" s="150">
        <f>(12.94%+8.94%)/2</f>
        <v>0.1094</v>
      </c>
      <c r="H18" s="104">
        <f>(15.34%+ 17.82%)/2</f>
        <v>0.1658</v>
      </c>
      <c r="I18" s="104">
        <v>0.29925000000000002</v>
      </c>
      <c r="J18" s="104">
        <v>0.1928</v>
      </c>
      <c r="R18" s="667"/>
      <c r="S18" s="667"/>
      <c r="T18" s="667"/>
      <c r="U18" s="667"/>
    </row>
    <row r="19" spans="2:21" ht="41.25" customHeight="1" x14ac:dyDescent="0.2">
      <c r="B19" s="1077" t="s">
        <v>221</v>
      </c>
      <c r="C19" s="1077"/>
      <c r="D19" s="150">
        <f>(17.11%+33.42%)/2</f>
        <v>0.25264999999999999</v>
      </c>
      <c r="E19" s="150">
        <f>(54.53%+33.42%)/2</f>
        <v>0.43974999999999997</v>
      </c>
      <c r="F19" s="150">
        <v>0.34250000000000003</v>
      </c>
      <c r="G19" s="150">
        <f>(29.96%+28.32%)/2</f>
        <v>0.29139999999999999</v>
      </c>
      <c r="H19" s="104">
        <f>(32.58%+ 32.18%)/2</f>
        <v>0.32379999999999998</v>
      </c>
      <c r="I19" s="104">
        <v>0.438</v>
      </c>
      <c r="J19" s="104">
        <v>0.4158</v>
      </c>
      <c r="R19" s="667"/>
      <c r="S19" s="667"/>
      <c r="T19" s="667"/>
      <c r="U19" s="667"/>
    </row>
    <row r="20" spans="2:21" ht="41.25" customHeight="1" x14ac:dyDescent="0.2">
      <c r="B20" s="1077" t="s">
        <v>294</v>
      </c>
      <c r="C20" s="1077"/>
      <c r="D20" s="150" t="s">
        <v>213</v>
      </c>
      <c r="E20" s="150" t="s">
        <v>213</v>
      </c>
      <c r="F20" s="150">
        <v>0.34460000000000002</v>
      </c>
      <c r="G20" s="150">
        <f>(31.75%+ 38%)/2</f>
        <v>0.34875</v>
      </c>
      <c r="H20" s="104">
        <f>(58.26%+ 45.76%)/2</f>
        <v>0.52010000000000001</v>
      </c>
      <c r="I20" s="104">
        <v>0.51749999999999996</v>
      </c>
      <c r="J20" s="104">
        <v>0.51190000000000002</v>
      </c>
      <c r="R20" s="667"/>
      <c r="S20" s="667"/>
      <c r="T20" s="667"/>
      <c r="U20" s="667"/>
    </row>
    <row r="21" spans="2:21" ht="41.25" customHeight="1" x14ac:dyDescent="0.2">
      <c r="B21" s="1077" t="s">
        <v>295</v>
      </c>
      <c r="C21" s="1077"/>
      <c r="D21" s="150" t="s">
        <v>213</v>
      </c>
      <c r="E21" s="150" t="s">
        <v>213</v>
      </c>
      <c r="F21" s="150">
        <v>0.3523</v>
      </c>
      <c r="G21" s="150">
        <f>(38.44%+46.34%)/2</f>
        <v>0.4239</v>
      </c>
      <c r="H21" s="104">
        <f>(50.48%+ 38.01%)/2</f>
        <v>0.44244999999999995</v>
      </c>
      <c r="I21" s="104">
        <v>0.55189999999999995</v>
      </c>
      <c r="J21" s="104">
        <v>0.45800000000000002</v>
      </c>
      <c r="R21" s="667"/>
      <c r="S21" s="667"/>
      <c r="T21" s="667"/>
      <c r="U21" s="667"/>
    </row>
    <row r="22" spans="2:21" ht="41.25" customHeight="1" x14ac:dyDescent="0.2">
      <c r="B22" s="1077" t="s">
        <v>224</v>
      </c>
      <c r="C22" s="1077"/>
      <c r="D22" s="150">
        <f>(12.92%+25.19%)/2</f>
        <v>0.19055</v>
      </c>
      <c r="E22" s="150">
        <f>(20.43%+25.19%)/2</f>
        <v>0.22810000000000002</v>
      </c>
      <c r="F22" s="150">
        <v>0.29139999999999999</v>
      </c>
      <c r="G22" s="150">
        <f>(20.45%+ 13.74%)/2</f>
        <v>0.17094999999999999</v>
      </c>
      <c r="H22" s="104">
        <f>(33.92%+ 24.85%)/2</f>
        <v>0.29385</v>
      </c>
      <c r="I22" s="104">
        <v>0.27894999999999998</v>
      </c>
      <c r="J22" s="104">
        <v>0.2616</v>
      </c>
      <c r="R22" s="667"/>
      <c r="S22" s="667"/>
      <c r="T22" s="667"/>
      <c r="U22" s="667"/>
    </row>
    <row r="23" spans="2:21" ht="41.25" customHeight="1" x14ac:dyDescent="0.2">
      <c r="B23" s="1078" t="s">
        <v>225</v>
      </c>
      <c r="C23" s="1079"/>
      <c r="D23" s="150" t="s">
        <v>213</v>
      </c>
      <c r="E23" s="150">
        <f>(26.15%+41.72%)/2</f>
        <v>0.33935000000000004</v>
      </c>
      <c r="F23" s="150">
        <v>0.4501</v>
      </c>
      <c r="G23" s="150">
        <f>(55.16%+ 40.1%)/2</f>
        <v>0.4763</v>
      </c>
      <c r="H23" s="104">
        <f>(50.27%+ 35.05%)/2</f>
        <v>0.42659999999999998</v>
      </c>
      <c r="I23" s="104">
        <v>0.43109999999999998</v>
      </c>
      <c r="J23" s="104">
        <v>0.37180000000000002</v>
      </c>
      <c r="R23" s="667"/>
      <c r="S23" s="667"/>
      <c r="T23" s="667"/>
      <c r="U23" s="667"/>
    </row>
    <row r="24" spans="2:21" ht="41.25" customHeight="1" x14ac:dyDescent="0.2">
      <c r="B24" s="1077" t="s">
        <v>226</v>
      </c>
      <c r="C24" s="1077"/>
      <c r="D24" s="150">
        <f>(15.84%+28%)/2</f>
        <v>0.21920000000000001</v>
      </c>
      <c r="E24" s="150">
        <f>(26.59%+28%)/2</f>
        <v>0.27295000000000003</v>
      </c>
      <c r="F24" s="150">
        <v>0.34210000000000002</v>
      </c>
      <c r="G24" s="150">
        <f>(19.13%+ 39.9%)/2</f>
        <v>0.29514999999999997</v>
      </c>
      <c r="H24" s="104">
        <f>(42.68%+ 36.68%)/2</f>
        <v>0.39680000000000004</v>
      </c>
      <c r="I24" s="104">
        <v>0.34470000000000001</v>
      </c>
      <c r="J24" s="104">
        <v>0.38619999999999999</v>
      </c>
      <c r="R24" s="667"/>
      <c r="S24" s="667"/>
      <c r="T24" s="667"/>
      <c r="U24" s="667"/>
    </row>
    <row r="25" spans="2:21" ht="41.25" customHeight="1" x14ac:dyDescent="0.2">
      <c r="B25" s="1077" t="s">
        <v>227</v>
      </c>
      <c r="C25" s="1077"/>
      <c r="D25" s="150">
        <f>(16.09%+20.82%)/2</f>
        <v>0.18454999999999999</v>
      </c>
      <c r="E25" s="150">
        <f>(25.24%+20.82%)/2</f>
        <v>0.23029999999999998</v>
      </c>
      <c r="F25" s="150">
        <v>0.29389999999999999</v>
      </c>
      <c r="G25" s="150">
        <f>(19.58%+ 21.1%)/2</f>
        <v>0.2034</v>
      </c>
      <c r="H25" s="104">
        <f>(17.99%+ 14.89%)/2</f>
        <v>0.16439999999999999</v>
      </c>
      <c r="I25" s="104">
        <v>0.27515000000000001</v>
      </c>
      <c r="J25" s="104">
        <v>0.32190000000000002</v>
      </c>
      <c r="R25" s="667"/>
      <c r="S25" s="667"/>
      <c r="T25" s="667"/>
      <c r="U25" s="667"/>
    </row>
    <row r="26" spans="2:21" ht="41.25" customHeight="1" x14ac:dyDescent="0.2">
      <c r="B26" s="1077" t="s">
        <v>228</v>
      </c>
      <c r="C26" s="1077"/>
      <c r="D26" s="150">
        <f>(15.24%+32.36%)/2</f>
        <v>0.23799999999999999</v>
      </c>
      <c r="E26" s="150">
        <f>(39.44%+32.36%)/2</f>
        <v>0.35899999999999999</v>
      </c>
      <c r="F26" s="150">
        <v>0.34329999999999999</v>
      </c>
      <c r="G26" s="150">
        <f>(22.82%+ 12.17%)/2</f>
        <v>0.17494999999999999</v>
      </c>
      <c r="H26" s="104">
        <f>(22.2%+ 15.33%)/2</f>
        <v>0.18764999999999998</v>
      </c>
      <c r="I26" s="104">
        <v>0.24049999999999999</v>
      </c>
      <c r="J26" s="104">
        <v>0.25069999999999998</v>
      </c>
      <c r="K26" s="50"/>
      <c r="L26" s="50"/>
      <c r="M26" s="50"/>
      <c r="N26" s="50"/>
    </row>
    <row r="27" spans="2:21" ht="41.25" customHeight="1" x14ac:dyDescent="0.2">
      <c r="B27" s="1077" t="s">
        <v>241</v>
      </c>
      <c r="C27" s="1077"/>
      <c r="D27" s="150">
        <f>(10.14%+13.77%)/2</f>
        <v>0.11954999999999999</v>
      </c>
      <c r="E27" s="150">
        <f>(26.83%+29.41%)/2</f>
        <v>0.28120000000000001</v>
      </c>
      <c r="F27" s="150">
        <v>0.25969999999999999</v>
      </c>
      <c r="G27" s="150" t="s">
        <v>264</v>
      </c>
      <c r="H27" s="104">
        <f>(14.59%+ 0%)/2</f>
        <v>7.2950000000000001E-2</v>
      </c>
      <c r="I27" s="104">
        <v>0.1719</v>
      </c>
      <c r="J27" s="104">
        <v>0.35749999999999998</v>
      </c>
      <c r="K27" s="50"/>
      <c r="L27" s="50"/>
      <c r="M27" s="50"/>
      <c r="N27" s="50"/>
    </row>
    <row r="28" spans="2:21" ht="41.25" customHeight="1" x14ac:dyDescent="0.2">
      <c r="B28" s="1077" t="s">
        <v>266</v>
      </c>
      <c r="C28" s="1077"/>
      <c r="D28" s="150">
        <f>(10%+7.25%)/2</f>
        <v>8.6249999999999993E-2</v>
      </c>
      <c r="E28" s="150">
        <f>(39.76%+44.62%)/2</f>
        <v>0.42189999999999994</v>
      </c>
      <c r="F28" s="150">
        <v>0.2586</v>
      </c>
      <c r="G28" s="150">
        <v>0.25419999999999998</v>
      </c>
      <c r="H28" s="104">
        <f>(15.13%+ 3.37%)/2</f>
        <v>9.2500000000000013E-2</v>
      </c>
      <c r="I28" s="104">
        <v>7.5999999999999998E-2</v>
      </c>
      <c r="J28" s="104">
        <v>0.29330000000000001</v>
      </c>
      <c r="K28" s="50"/>
      <c r="L28" s="50"/>
      <c r="M28" s="50"/>
      <c r="N28" s="50"/>
    </row>
    <row r="29" spans="2:21" ht="41.25" customHeight="1" x14ac:dyDescent="0.2">
      <c r="B29" s="1077" t="s">
        <v>252</v>
      </c>
      <c r="C29" s="1077"/>
      <c r="D29" s="150">
        <f>(22.5%+41.38%)/2</f>
        <v>0.31940000000000002</v>
      </c>
      <c r="E29" s="150">
        <f>(48%+21.43%)/2</f>
        <v>0.34714999999999996</v>
      </c>
      <c r="F29" s="150">
        <v>0.5625</v>
      </c>
      <c r="G29" s="150">
        <f>(74.07%+ 75%)/2</f>
        <v>0.74534999999999996</v>
      </c>
      <c r="H29" s="104">
        <f>(12.5%+ 32.14%)/2</f>
        <v>0.22320000000000001</v>
      </c>
      <c r="I29" s="104">
        <v>0.38740000000000002</v>
      </c>
      <c r="J29" s="104">
        <v>0.28789999999999999</v>
      </c>
      <c r="K29" s="50"/>
      <c r="L29" s="50"/>
      <c r="M29" s="50"/>
      <c r="N29" s="50"/>
    </row>
    <row r="30" spans="2:21" ht="41.25" customHeight="1" x14ac:dyDescent="0.2">
      <c r="B30" s="1077" t="s">
        <v>244</v>
      </c>
      <c r="C30" s="1077"/>
      <c r="D30" s="150">
        <f>(7.83%+7.22%)/2</f>
        <v>7.5249999999999997E-2</v>
      </c>
      <c r="E30" s="150">
        <f>(12.5%+11.11%)/2</f>
        <v>0.11804999999999999</v>
      </c>
      <c r="F30" s="150">
        <v>0.15529999999999999</v>
      </c>
      <c r="G30" s="150">
        <f>(20.11%+ 11.11%)/2</f>
        <v>0.15609999999999999</v>
      </c>
      <c r="H30" s="104">
        <f>(21.16%+ 0%)/2</f>
        <v>0.10580000000000001</v>
      </c>
      <c r="I30" s="104">
        <v>5.645E-2</v>
      </c>
      <c r="J30" s="104">
        <v>7.5499999999999998E-2</v>
      </c>
      <c r="K30" s="50"/>
      <c r="L30" s="50"/>
      <c r="M30" s="50"/>
      <c r="N30" s="50"/>
    </row>
    <row r="31" spans="2:21" ht="41.25" customHeight="1" x14ac:dyDescent="0.2">
      <c r="B31" s="1077" t="s">
        <v>253</v>
      </c>
      <c r="C31" s="1077"/>
      <c r="D31" s="150">
        <f>(9.09%+9.09%)/2</f>
        <v>9.0899999999999995E-2</v>
      </c>
      <c r="E31" s="150">
        <f>(34.78%+35.82%)/2</f>
        <v>0.35299999999999998</v>
      </c>
      <c r="F31" s="151">
        <v>0.4</v>
      </c>
      <c r="G31" s="37" t="s">
        <v>264</v>
      </c>
      <c r="H31" s="104">
        <f>(20%+ 33.3%)/2</f>
        <v>0.26649999999999996</v>
      </c>
      <c r="I31" s="104">
        <v>0.43940000000000001</v>
      </c>
      <c r="J31" s="104">
        <v>0.31140000000000001</v>
      </c>
      <c r="K31" s="50"/>
      <c r="L31" s="50"/>
      <c r="M31" s="50"/>
      <c r="N31" s="50"/>
    </row>
    <row r="32" spans="2:21" ht="41.25" customHeight="1" x14ac:dyDescent="0.2">
      <c r="B32" s="1077" t="s">
        <v>245</v>
      </c>
      <c r="C32" s="1077"/>
      <c r="D32" s="150">
        <v>0.1</v>
      </c>
      <c r="E32" s="150">
        <f>(100%+30%)/2</f>
        <v>0.65</v>
      </c>
      <c r="F32" s="150">
        <v>0.92310000000000003</v>
      </c>
      <c r="G32" s="37" t="s">
        <v>264</v>
      </c>
      <c r="H32" s="104" t="s">
        <v>213</v>
      </c>
      <c r="I32" s="104">
        <v>0.20830000000000001</v>
      </c>
      <c r="J32" s="104">
        <v>0.2223</v>
      </c>
      <c r="K32" s="50"/>
      <c r="L32" s="50"/>
      <c r="M32" s="50"/>
      <c r="N32" s="50"/>
    </row>
    <row r="33" spans="2:14" ht="41.25" customHeight="1" x14ac:dyDescent="0.2">
      <c r="B33" s="1076" t="s">
        <v>254</v>
      </c>
      <c r="C33" s="1076"/>
      <c r="D33" s="152">
        <f>(17.71%+14.16%)/2</f>
        <v>0.15934999999999999</v>
      </c>
      <c r="E33" s="152">
        <f>(38.62%+2.33%)/2</f>
        <v>0.20474999999999999</v>
      </c>
      <c r="F33" s="152">
        <v>0.1275</v>
      </c>
      <c r="G33" s="152">
        <v>2.3400000000000001E-2</v>
      </c>
      <c r="H33" s="104">
        <f>(9.92%+ 0%)/2</f>
        <v>4.9599999999999998E-2</v>
      </c>
      <c r="I33" s="104" t="s">
        <v>213</v>
      </c>
      <c r="J33" s="104">
        <v>0.1166</v>
      </c>
      <c r="K33" s="50"/>
      <c r="L33" s="50"/>
      <c r="M33" s="50"/>
      <c r="N33" s="50"/>
    </row>
    <row r="34" spans="2:14" ht="22.5" customHeight="1" x14ac:dyDescent="0.2">
      <c r="B34" s="948">
        <f>D5</f>
        <v>0.4</v>
      </c>
      <c r="C34" s="948"/>
      <c r="D34" s="31">
        <f t="shared" ref="D34:J34" si="0">COUNTIF(D16:D33,"&gt;="&amp;D36)</f>
        <v>0</v>
      </c>
      <c r="E34" s="31">
        <f t="shared" si="0"/>
        <v>3</v>
      </c>
      <c r="F34" s="31">
        <f t="shared" si="0"/>
        <v>4</v>
      </c>
      <c r="G34" s="31">
        <f t="shared" si="0"/>
        <v>3</v>
      </c>
      <c r="H34" s="31">
        <f t="shared" si="0"/>
        <v>3</v>
      </c>
      <c r="I34" s="31">
        <f t="shared" si="0"/>
        <v>5</v>
      </c>
      <c r="J34" s="31">
        <f t="shared" si="0"/>
        <v>3</v>
      </c>
    </row>
    <row r="35" spans="2:14" ht="22.5" customHeight="1" x14ac:dyDescent="0.2">
      <c r="B35" s="734" t="s">
        <v>248</v>
      </c>
      <c r="C35" s="734"/>
      <c r="D35" s="31">
        <f t="shared" ref="D35:I35" si="1">COUNT(D16:D33)</f>
        <v>14</v>
      </c>
      <c r="E35" s="31">
        <f t="shared" si="1"/>
        <v>15</v>
      </c>
      <c r="F35" s="31">
        <f t="shared" si="1"/>
        <v>18</v>
      </c>
      <c r="G35" s="31">
        <f t="shared" si="1"/>
        <v>14</v>
      </c>
      <c r="H35" s="31">
        <f t="shared" si="1"/>
        <v>16</v>
      </c>
      <c r="I35" s="31">
        <f t="shared" si="1"/>
        <v>16</v>
      </c>
      <c r="J35" s="31">
        <f>COUNT(J16:J33)</f>
        <v>18</v>
      </c>
    </row>
    <row r="36" spans="2:14" ht="22.5" customHeight="1" x14ac:dyDescent="0.2">
      <c r="B36" s="730" t="s">
        <v>207</v>
      </c>
      <c r="C36" s="787"/>
      <c r="D36" s="66">
        <f t="shared" ref="D36:J36" si="2">$D$5</f>
        <v>0.4</v>
      </c>
      <c r="E36" s="66">
        <f t="shared" si="2"/>
        <v>0.4</v>
      </c>
      <c r="F36" s="66">
        <f t="shared" si="2"/>
        <v>0.4</v>
      </c>
      <c r="G36" s="66">
        <f t="shared" si="2"/>
        <v>0.4</v>
      </c>
      <c r="H36" s="66">
        <f t="shared" si="2"/>
        <v>0.4</v>
      </c>
      <c r="I36" s="66">
        <f t="shared" si="2"/>
        <v>0.4</v>
      </c>
      <c r="J36" s="66">
        <f t="shared" si="2"/>
        <v>0.4</v>
      </c>
    </row>
    <row r="37" spans="2:14" ht="22.5" customHeight="1" x14ac:dyDescent="0.2">
      <c r="B37" s="730" t="s">
        <v>208</v>
      </c>
      <c r="C37" s="787"/>
      <c r="D37" s="43">
        <f t="shared" ref="D37:J37" si="3">D34/D35</f>
        <v>0</v>
      </c>
      <c r="E37" s="43">
        <f t="shared" si="3"/>
        <v>0.2</v>
      </c>
      <c r="F37" s="43">
        <f t="shared" si="3"/>
        <v>0.22222222222222221</v>
      </c>
      <c r="G37" s="43">
        <f t="shared" si="3"/>
        <v>0.21428571428571427</v>
      </c>
      <c r="H37" s="43">
        <f t="shared" si="3"/>
        <v>0.1875</v>
      </c>
      <c r="I37" s="43">
        <f t="shared" si="3"/>
        <v>0.3125</v>
      </c>
      <c r="J37" s="43">
        <f t="shared" si="3"/>
        <v>0.16666666666666666</v>
      </c>
    </row>
    <row r="38" spans="2:14" ht="22.5" customHeight="1" x14ac:dyDescent="0.25">
      <c r="B38" s="7"/>
      <c r="C38" s="7"/>
      <c r="D38" s="6"/>
      <c r="E38" s="6"/>
      <c r="F38" s="6"/>
      <c r="G38" s="6"/>
      <c r="H38" s="6"/>
      <c r="I38" s="6"/>
      <c r="J38" s="6"/>
    </row>
    <row r="39" spans="2:14" ht="22.5" customHeight="1" x14ac:dyDescent="0.2">
      <c r="B39" s="674" t="s">
        <v>469</v>
      </c>
      <c r="C39" s="675"/>
      <c r="D39" s="675"/>
      <c r="E39" s="675"/>
      <c r="F39" s="675"/>
      <c r="G39" s="675"/>
      <c r="H39" s="675"/>
      <c r="I39" s="675"/>
      <c r="J39" s="12"/>
    </row>
    <row r="40" spans="2:14" ht="22.5" customHeight="1" x14ac:dyDescent="0.2">
      <c r="B40" s="8"/>
      <c r="C40" s="8"/>
      <c r="D40" s="8"/>
      <c r="E40" s="8"/>
      <c r="F40" s="8"/>
      <c r="G40" s="9"/>
      <c r="H40" s="9"/>
      <c r="I40" s="9"/>
      <c r="J40" s="9"/>
    </row>
    <row r="41" spans="2:14" ht="6" customHeight="1" x14ac:dyDescent="0.2">
      <c r="B41" s="8"/>
      <c r="C41" s="8"/>
      <c r="D41" s="8"/>
      <c r="E41" s="8"/>
      <c r="F41" s="8"/>
      <c r="G41" s="751" t="s">
        <v>155</v>
      </c>
      <c r="H41" s="752"/>
      <c r="I41" s="752"/>
      <c r="J41" s="752"/>
    </row>
    <row r="42" spans="2:14" ht="19.5" customHeight="1" x14ac:dyDescent="0.2">
      <c r="B42" s="8"/>
      <c r="C42" s="8"/>
      <c r="D42" s="8"/>
      <c r="E42" s="8"/>
      <c r="F42" s="8"/>
      <c r="G42" s="752"/>
      <c r="H42" s="574"/>
      <c r="I42" s="574"/>
      <c r="J42" s="752"/>
    </row>
    <row r="43" spans="2:14" ht="19.5" customHeight="1" x14ac:dyDescent="0.2">
      <c r="B43" s="8"/>
      <c r="C43" s="8"/>
      <c r="D43" s="8"/>
      <c r="E43" s="8"/>
      <c r="F43" s="8"/>
      <c r="G43" s="752"/>
      <c r="H43" s="574"/>
      <c r="I43" s="574"/>
      <c r="J43" s="752"/>
    </row>
    <row r="44" spans="2:14" ht="19.5" customHeight="1" x14ac:dyDescent="0.2">
      <c r="B44" s="8"/>
      <c r="C44" s="8"/>
      <c r="D44" s="8"/>
      <c r="E44" s="8"/>
      <c r="F44" s="8"/>
      <c r="G44" s="752"/>
      <c r="H44" s="574"/>
      <c r="I44" s="574"/>
      <c r="J44" s="752"/>
    </row>
    <row r="45" spans="2:14" ht="19.5" customHeight="1" x14ac:dyDescent="0.2">
      <c r="B45" s="8"/>
      <c r="C45" s="8"/>
      <c r="D45" s="8"/>
      <c r="E45" s="8"/>
      <c r="F45" s="8"/>
      <c r="G45" s="752"/>
      <c r="H45" s="574"/>
      <c r="I45" s="574"/>
      <c r="J45" s="752"/>
    </row>
    <row r="46" spans="2:14" ht="19.5" customHeight="1" x14ac:dyDescent="0.2">
      <c r="B46" s="8"/>
      <c r="C46" s="8"/>
      <c r="D46" s="8"/>
      <c r="E46" s="8"/>
      <c r="F46" s="8"/>
      <c r="G46" s="752"/>
      <c r="H46" s="574"/>
      <c r="I46" s="574"/>
      <c r="J46" s="752"/>
    </row>
    <row r="47" spans="2:14" ht="19.5" customHeight="1" x14ac:dyDescent="0.2">
      <c r="B47" s="8"/>
      <c r="C47" s="8"/>
      <c r="D47" s="8"/>
      <c r="E47" s="8"/>
      <c r="F47" s="8"/>
      <c r="G47" s="752"/>
      <c r="H47" s="574"/>
      <c r="I47" s="574"/>
      <c r="J47" s="752"/>
    </row>
    <row r="48" spans="2:14" ht="19.5" customHeight="1" x14ac:dyDescent="0.2">
      <c r="B48" s="8"/>
      <c r="C48" s="8"/>
      <c r="D48" s="8"/>
      <c r="E48" s="8"/>
      <c r="F48" s="8"/>
      <c r="G48" s="752"/>
      <c r="H48" s="574"/>
      <c r="I48" s="574"/>
      <c r="J48" s="752"/>
    </row>
    <row r="49" spans="2:10" ht="19.5" customHeight="1" x14ac:dyDescent="0.2">
      <c r="B49" s="8"/>
      <c r="C49" s="8"/>
      <c r="D49" s="8"/>
      <c r="E49" s="8"/>
      <c r="F49" s="8"/>
      <c r="G49" s="752"/>
      <c r="H49" s="752"/>
      <c r="I49" s="752"/>
      <c r="J49" s="752"/>
    </row>
    <row r="50" spans="2:10" ht="19.5" customHeight="1" x14ac:dyDescent="0.2"/>
    <row r="51" spans="2:10" ht="19.5" customHeight="1" x14ac:dyDescent="0.2">
      <c r="H51" s="559" t="s">
        <v>155</v>
      </c>
      <c r="I51" s="560"/>
      <c r="J51" s="560"/>
    </row>
  </sheetData>
  <sheetProtection formatCells="0" formatColumns="0" formatRows="0" insertColumns="0" insertRows="0" insertHyperlinks="0" deleteColumns="0" deleteRows="0" pivotTables="0"/>
  <mergeCells count="58">
    <mergeCell ref="B2:D2"/>
    <mergeCell ref="E2:J2"/>
    <mergeCell ref="B4:C4"/>
    <mergeCell ref="D4:E4"/>
    <mergeCell ref="F4:G4"/>
    <mergeCell ref="H4:J4"/>
    <mergeCell ref="F5:G5"/>
    <mergeCell ref="B9:C9"/>
    <mergeCell ref="B12:J12"/>
    <mergeCell ref="B16:C16"/>
    <mergeCell ref="B17:C17"/>
    <mergeCell ref="H5:J5"/>
    <mergeCell ref="B7:C7"/>
    <mergeCell ref="D7:E7"/>
    <mergeCell ref="F7:G7"/>
    <mergeCell ref="H10:J10"/>
    <mergeCell ref="F10:G10"/>
    <mergeCell ref="B20:C20"/>
    <mergeCell ref="B18:C18"/>
    <mergeCell ref="B19:C19"/>
    <mergeCell ref="B5:C5"/>
    <mergeCell ref="D5:E5"/>
    <mergeCell ref="G41:J49"/>
    <mergeCell ref="H51:J51"/>
    <mergeCell ref="B34:C34"/>
    <mergeCell ref="B35:C35"/>
    <mergeCell ref="B36:C36"/>
    <mergeCell ref="B37:C37"/>
    <mergeCell ref="B39:I39"/>
    <mergeCell ref="B33:C33"/>
    <mergeCell ref="B21:C21"/>
    <mergeCell ref="B22:C22"/>
    <mergeCell ref="B24:C24"/>
    <mergeCell ref="B25:C25"/>
    <mergeCell ref="B26:C26"/>
    <mergeCell ref="B27:C27"/>
    <mergeCell ref="B28:C28"/>
    <mergeCell ref="B29:C29"/>
    <mergeCell ref="B30:C30"/>
    <mergeCell ref="B31:C31"/>
    <mergeCell ref="B32:C32"/>
    <mergeCell ref="B23:C23"/>
    <mergeCell ref="R15:U15"/>
    <mergeCell ref="R16:U25"/>
    <mergeCell ref="B6:C6"/>
    <mergeCell ref="D6:E6"/>
    <mergeCell ref="F6:G6"/>
    <mergeCell ref="H6:J6"/>
    <mergeCell ref="H7:J7"/>
    <mergeCell ref="B8:C8"/>
    <mergeCell ref="D8:E8"/>
    <mergeCell ref="F8:G8"/>
    <mergeCell ref="H8:J8"/>
    <mergeCell ref="D9:E9"/>
    <mergeCell ref="F9:G9"/>
    <mergeCell ref="H9:J9"/>
    <mergeCell ref="B10:C10"/>
    <mergeCell ref="D10:E10"/>
  </mergeCells>
  <phoneticPr fontId="25" type="noConversion"/>
  <conditionalFormatting sqref="D16:J33">
    <cfRule type="cellIs" dxfId="7" priority="1" operator="between">
      <formula>0</formula>
      <formula>0.36</formula>
    </cfRule>
  </conditionalFormatting>
  <pageMargins left="0.7" right="0.7" top="0.75" bottom="0.75" header="0" footer="0"/>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972D-15A7-46D8-9EB3-CB2F4D4A3307}">
  <sheetPr>
    <tabColor theme="9" tint="-0.499984740745262"/>
    <pageSetUpPr fitToPage="1"/>
  </sheetPr>
  <dimension ref="A2:Q50"/>
  <sheetViews>
    <sheetView showGridLines="0" workbookViewId="0">
      <selection activeCell="O7" sqref="O7"/>
    </sheetView>
  </sheetViews>
  <sheetFormatPr defaultColWidth="12.5703125" defaultRowHeight="15.75" customHeight="1" x14ac:dyDescent="0.2"/>
  <cols>
    <col min="1" max="1" width="3.42578125" customWidth="1"/>
    <col min="2" max="2" width="14.140625" customWidth="1"/>
    <col min="3" max="3" width="17.42578125" customWidth="1"/>
    <col min="4" max="4" width="25" customWidth="1"/>
    <col min="5" max="9" width="12.5703125" customWidth="1"/>
    <col min="10" max="10" width="36.28515625" customWidth="1"/>
    <col min="11" max="20" width="7.5703125" customWidth="1"/>
  </cols>
  <sheetData>
    <row r="2" spans="1:10" ht="55.5" customHeight="1" x14ac:dyDescent="0.2">
      <c r="B2" s="714"/>
      <c r="C2" s="715"/>
      <c r="D2" s="716"/>
      <c r="E2" s="717" t="s">
        <v>192</v>
      </c>
      <c r="F2" s="715"/>
      <c r="G2" s="715"/>
      <c r="H2" s="715"/>
      <c r="I2" s="715"/>
      <c r="J2" s="716"/>
    </row>
    <row r="3" spans="1:10" ht="22.5" customHeight="1" x14ac:dyDescent="0.2">
      <c r="B3" s="41"/>
      <c r="C3" s="41"/>
      <c r="D3" s="42"/>
      <c r="E3" s="42"/>
      <c r="F3" s="42"/>
      <c r="G3" s="42"/>
      <c r="H3" s="42"/>
      <c r="I3" s="42"/>
    </row>
    <row r="4" spans="1:10" ht="42" customHeight="1" x14ac:dyDescent="0.2">
      <c r="B4" s="567" t="s">
        <v>193</v>
      </c>
      <c r="C4" s="569"/>
      <c r="D4" s="718" t="str">
        <f>Índex!B74</f>
        <v xml:space="preserve"> PS5.04_Ind03. </v>
      </c>
      <c r="E4" s="716"/>
      <c r="F4" s="567" t="s">
        <v>194</v>
      </c>
      <c r="G4" s="569"/>
      <c r="H4" s="718" t="str">
        <f>Índex!C74</f>
        <v>Valoració mitjana per titulació de l’afirmació “Estic satisfet/a amb la titulació” a les enquestes de satisfacció de la UAB.</v>
      </c>
      <c r="I4" s="715"/>
      <c r="J4" s="716"/>
    </row>
    <row r="5" spans="1:10" ht="22.5" customHeight="1" x14ac:dyDescent="0.2">
      <c r="B5" s="567" t="s">
        <v>195</v>
      </c>
      <c r="C5" s="569"/>
      <c r="D5" s="875">
        <f>Índex!F74</f>
        <v>3.5</v>
      </c>
      <c r="E5" s="863"/>
      <c r="F5" s="567" t="s">
        <v>196</v>
      </c>
      <c r="G5" s="569"/>
      <c r="H5" s="718" t="s">
        <v>433</v>
      </c>
      <c r="I5" s="715"/>
      <c r="J5" s="716"/>
    </row>
    <row r="6" spans="1:10" ht="22.5" customHeight="1" x14ac:dyDescent="0.2">
      <c r="B6" s="567" t="s">
        <v>471</v>
      </c>
      <c r="C6" s="569"/>
      <c r="D6" s="718" t="str">
        <f>Índex!H74</f>
        <v>Objectiu de Qualitat. Grups d'interès</v>
      </c>
      <c r="E6" s="716"/>
      <c r="F6" s="567" t="s">
        <v>462</v>
      </c>
      <c r="G6" s="569"/>
      <c r="H6" s="718"/>
      <c r="I6" s="715"/>
      <c r="J6" s="716"/>
    </row>
    <row r="7" spans="1:10" ht="22.5" customHeight="1" x14ac:dyDescent="0.2">
      <c r="B7" s="567" t="s">
        <v>463</v>
      </c>
      <c r="C7" s="569"/>
      <c r="D7" s="718"/>
      <c r="E7" s="716"/>
      <c r="F7" s="567" t="s">
        <v>464</v>
      </c>
      <c r="G7" s="569"/>
      <c r="H7" s="718" t="s">
        <v>198</v>
      </c>
      <c r="I7" s="715"/>
      <c r="J7" s="716"/>
    </row>
    <row r="8" spans="1:10" ht="22.5" customHeight="1" x14ac:dyDescent="0.2">
      <c r="A8" s="97" t="s">
        <v>155</v>
      </c>
      <c r="B8" s="567" t="s">
        <v>465</v>
      </c>
      <c r="C8" s="569"/>
      <c r="D8" s="718" t="str">
        <f>Índex!D74</f>
        <v xml:space="preserve">Vicedegà d’Alumnat i de Promoció  </v>
      </c>
      <c r="E8" s="716"/>
      <c r="F8" s="567" t="s">
        <v>472</v>
      </c>
      <c r="G8" s="569"/>
      <c r="H8" s="718" t="str">
        <f>Índex!E74</f>
        <v>Gestora de Qualitat</v>
      </c>
      <c r="I8" s="715"/>
      <c r="J8" s="716"/>
    </row>
    <row r="9" spans="1:10" ht="48" customHeight="1" x14ac:dyDescent="0.2">
      <c r="B9" s="567" t="s">
        <v>461</v>
      </c>
      <c r="C9" s="569"/>
      <c r="D9" s="718" t="str">
        <f>Índex!G74</f>
        <v>PS5.04. Satisfacció dels Grups d’Interès</v>
      </c>
      <c r="E9" s="716"/>
      <c r="F9" s="567" t="s">
        <v>467</v>
      </c>
      <c r="G9" s="569"/>
      <c r="H9" s="718" t="s">
        <v>576</v>
      </c>
      <c r="I9" s="715"/>
      <c r="J9" s="716"/>
    </row>
    <row r="10" spans="1:10" ht="7.5" customHeight="1" x14ac:dyDescent="0.2"/>
    <row r="11" spans="1:10" ht="22.5" customHeight="1" x14ac:dyDescent="0.2">
      <c r="B11" s="567" t="s">
        <v>468</v>
      </c>
      <c r="C11" s="568"/>
      <c r="D11" s="568"/>
      <c r="E11" s="568"/>
      <c r="F11" s="568"/>
      <c r="G11" s="568"/>
      <c r="H11" s="568"/>
      <c r="I11" s="568"/>
      <c r="J11" s="569"/>
    </row>
    <row r="12" spans="1:10" ht="22.5" customHeight="1" x14ac:dyDescent="0.2">
      <c r="B12" s="30" t="s">
        <v>155</v>
      </c>
      <c r="C12" s="12"/>
      <c r="D12" s="12"/>
      <c r="E12" s="12"/>
      <c r="F12" s="12"/>
      <c r="G12" s="12"/>
      <c r="H12" s="12"/>
      <c r="I12" s="12"/>
      <c r="J12" s="12"/>
    </row>
    <row r="13" spans="1:10" ht="22.5" customHeight="1" x14ac:dyDescent="0.2"/>
    <row r="14" spans="1:10" ht="22.5" customHeight="1" x14ac:dyDescent="0.2">
      <c r="B14" s="965"/>
      <c r="C14" s="966"/>
      <c r="D14" s="89" t="s">
        <v>200</v>
      </c>
      <c r="E14" s="89" t="s">
        <v>201</v>
      </c>
      <c r="F14" s="89" t="s">
        <v>202</v>
      </c>
      <c r="G14" s="89" t="s">
        <v>203</v>
      </c>
      <c r="H14" s="89" t="s">
        <v>204</v>
      </c>
      <c r="I14" s="89" t="s">
        <v>205</v>
      </c>
    </row>
    <row r="15" spans="1:10" ht="41.25" customHeight="1" x14ac:dyDescent="0.2">
      <c r="B15" s="739" t="s">
        <v>218</v>
      </c>
      <c r="C15" s="739"/>
      <c r="D15" s="28">
        <v>4.18</v>
      </c>
      <c r="E15" s="28" t="s">
        <v>213</v>
      </c>
      <c r="F15" s="28">
        <v>3.75</v>
      </c>
      <c r="G15" s="28">
        <v>4.2</v>
      </c>
      <c r="H15" s="28">
        <v>3.69</v>
      </c>
      <c r="I15" s="28">
        <v>3.69</v>
      </c>
      <c r="J15" s="97"/>
    </row>
    <row r="16" spans="1:10" ht="41.25" customHeight="1" x14ac:dyDescent="0.2">
      <c r="B16" s="739" t="s">
        <v>235</v>
      </c>
      <c r="C16" s="739"/>
      <c r="D16" s="28" t="s">
        <v>213</v>
      </c>
      <c r="E16" s="28" t="s">
        <v>213</v>
      </c>
      <c r="F16" s="28">
        <v>3.8</v>
      </c>
      <c r="G16" s="28">
        <v>3</v>
      </c>
      <c r="H16" s="28">
        <v>4</v>
      </c>
      <c r="I16" s="28">
        <v>3.29</v>
      </c>
      <c r="J16" s="97"/>
    </row>
    <row r="17" spans="2:10" ht="41.25" customHeight="1" x14ac:dyDescent="0.2">
      <c r="B17" s="739" t="s">
        <v>262</v>
      </c>
      <c r="C17" s="739"/>
      <c r="D17" s="28" t="s">
        <v>213</v>
      </c>
      <c r="E17" s="28">
        <v>4.2</v>
      </c>
      <c r="F17" s="28">
        <v>4.4000000000000004</v>
      </c>
      <c r="G17" s="28">
        <v>3.5</v>
      </c>
      <c r="H17" s="28">
        <v>4.33</v>
      </c>
      <c r="I17" s="28">
        <v>3.89</v>
      </c>
      <c r="J17" s="97"/>
    </row>
    <row r="18" spans="2:10" ht="41.25" customHeight="1" x14ac:dyDescent="0.2">
      <c r="B18" s="739" t="s">
        <v>221</v>
      </c>
      <c r="C18" s="739"/>
      <c r="D18" s="28">
        <v>3.44</v>
      </c>
      <c r="E18" s="28">
        <v>3.48</v>
      </c>
      <c r="F18" s="28">
        <v>3.77</v>
      </c>
      <c r="G18" s="28">
        <v>3.33</v>
      </c>
      <c r="H18" s="28">
        <v>4.05</v>
      </c>
      <c r="I18" s="28">
        <v>3.73</v>
      </c>
      <c r="J18" s="97"/>
    </row>
    <row r="19" spans="2:10" ht="41.25" customHeight="1" x14ac:dyDescent="0.2">
      <c r="B19" s="739" t="s">
        <v>294</v>
      </c>
      <c r="C19" s="739"/>
      <c r="D19" s="28" t="s">
        <v>213</v>
      </c>
      <c r="E19" s="28" t="s">
        <v>213</v>
      </c>
      <c r="F19" s="28" t="s">
        <v>213</v>
      </c>
      <c r="G19" s="28">
        <v>4</v>
      </c>
      <c r="H19" s="28">
        <v>4</v>
      </c>
      <c r="I19" s="28">
        <v>4.57</v>
      </c>
    </row>
    <row r="20" spans="2:10" ht="41.25" customHeight="1" x14ac:dyDescent="0.2">
      <c r="B20" s="739" t="s">
        <v>295</v>
      </c>
      <c r="C20" s="739"/>
      <c r="D20" s="28">
        <v>3</v>
      </c>
      <c r="E20" s="28">
        <v>4.1399999999999997</v>
      </c>
      <c r="F20" s="28" t="s">
        <v>213</v>
      </c>
      <c r="G20" s="28">
        <v>3.75</v>
      </c>
      <c r="H20" s="28">
        <v>4.25</v>
      </c>
      <c r="I20" s="28">
        <v>3.83</v>
      </c>
    </row>
    <row r="21" spans="2:10" ht="41.25" customHeight="1" x14ac:dyDescent="0.2">
      <c r="B21" s="739" t="s">
        <v>224</v>
      </c>
      <c r="C21" s="739"/>
      <c r="D21" s="28">
        <v>4</v>
      </c>
      <c r="E21" s="28" t="s">
        <v>213</v>
      </c>
      <c r="F21" s="28" t="s">
        <v>213</v>
      </c>
      <c r="G21" s="28" t="s">
        <v>213</v>
      </c>
      <c r="H21" s="28">
        <v>4.1399999999999997</v>
      </c>
      <c r="I21" s="28" t="s">
        <v>213</v>
      </c>
    </row>
    <row r="22" spans="2:10" ht="41.25" customHeight="1" x14ac:dyDescent="0.2">
      <c r="B22" s="739" t="s">
        <v>225</v>
      </c>
      <c r="C22" s="739"/>
      <c r="D22" s="28" t="s">
        <v>213</v>
      </c>
      <c r="E22" s="28" t="s">
        <v>213</v>
      </c>
      <c r="F22" s="28" t="s">
        <v>213</v>
      </c>
      <c r="G22" s="28" t="s">
        <v>213</v>
      </c>
      <c r="H22" s="28">
        <v>4.8600000000000003</v>
      </c>
      <c r="I22" s="28">
        <v>4.38</v>
      </c>
    </row>
    <row r="23" spans="2:10" ht="41.25" customHeight="1" x14ac:dyDescent="0.2">
      <c r="B23" s="739" t="s">
        <v>226</v>
      </c>
      <c r="C23" s="739"/>
      <c r="D23" s="28">
        <v>4.5999999999999996</v>
      </c>
      <c r="E23" s="28">
        <v>3.93</v>
      </c>
      <c r="F23" s="28">
        <v>3.64</v>
      </c>
      <c r="G23" s="28">
        <v>3.2</v>
      </c>
      <c r="H23" s="28">
        <v>4.3</v>
      </c>
      <c r="I23" s="28">
        <v>4.43</v>
      </c>
    </row>
    <row r="24" spans="2:10" ht="41.25" customHeight="1" x14ac:dyDescent="0.2">
      <c r="B24" s="739" t="s">
        <v>227</v>
      </c>
      <c r="C24" s="739"/>
      <c r="D24" s="28">
        <v>3.82</v>
      </c>
      <c r="E24" s="28">
        <v>3.67</v>
      </c>
      <c r="F24" s="28">
        <v>4.07</v>
      </c>
      <c r="G24" s="28">
        <v>3</v>
      </c>
      <c r="H24" s="28">
        <v>4.18</v>
      </c>
      <c r="I24" s="28">
        <v>3.93</v>
      </c>
    </row>
    <row r="25" spans="2:10" ht="41.25" customHeight="1" x14ac:dyDescent="0.2">
      <c r="B25" s="739" t="s">
        <v>228</v>
      </c>
      <c r="C25" s="739"/>
      <c r="D25" s="28">
        <v>3.58</v>
      </c>
      <c r="E25" s="28">
        <v>3.74</v>
      </c>
      <c r="F25" s="28">
        <v>3.17</v>
      </c>
      <c r="G25" s="28">
        <v>4.75</v>
      </c>
      <c r="H25" s="28">
        <v>3.79</v>
      </c>
      <c r="I25" s="28">
        <v>3.82</v>
      </c>
    </row>
    <row r="26" spans="2:10" ht="41.25" customHeight="1" x14ac:dyDescent="0.2">
      <c r="B26" s="739" t="s">
        <v>241</v>
      </c>
      <c r="C26" s="739"/>
      <c r="D26" s="28" t="s">
        <v>282</v>
      </c>
      <c r="E26" s="28" t="s">
        <v>282</v>
      </c>
      <c r="F26" s="28">
        <v>3.33</v>
      </c>
      <c r="G26" s="28" t="s">
        <v>213</v>
      </c>
      <c r="H26" s="28">
        <v>3.72</v>
      </c>
      <c r="I26" s="28">
        <v>3.38</v>
      </c>
    </row>
    <row r="27" spans="2:10" ht="41.25" customHeight="1" x14ac:dyDescent="0.2">
      <c r="B27" s="739" t="s">
        <v>266</v>
      </c>
      <c r="C27" s="739"/>
      <c r="D27" s="28" t="s">
        <v>282</v>
      </c>
      <c r="E27" s="28" t="s">
        <v>282</v>
      </c>
      <c r="F27" s="28" t="s">
        <v>213</v>
      </c>
      <c r="G27" s="28" t="s">
        <v>213</v>
      </c>
      <c r="H27" s="28">
        <v>3.63</v>
      </c>
      <c r="I27" s="28" t="s">
        <v>213</v>
      </c>
    </row>
    <row r="28" spans="2:10" ht="41.25" customHeight="1" x14ac:dyDescent="0.2">
      <c r="B28" s="739" t="s">
        <v>252</v>
      </c>
      <c r="C28" s="739"/>
      <c r="D28" s="28" t="s">
        <v>282</v>
      </c>
      <c r="E28" s="28" t="s">
        <v>282</v>
      </c>
      <c r="F28" s="28">
        <v>4.22</v>
      </c>
      <c r="G28" s="28" t="s">
        <v>213</v>
      </c>
      <c r="H28" s="28">
        <v>4.18</v>
      </c>
      <c r="I28" s="28">
        <v>4.5999999999999996</v>
      </c>
    </row>
    <row r="29" spans="2:10" ht="41.25" customHeight="1" x14ac:dyDescent="0.2">
      <c r="B29" s="739" t="s">
        <v>244</v>
      </c>
      <c r="C29" s="739"/>
      <c r="D29" s="28" t="s">
        <v>282</v>
      </c>
      <c r="E29" s="28" t="s">
        <v>282</v>
      </c>
      <c r="F29" s="28" t="s">
        <v>213</v>
      </c>
      <c r="G29" s="28">
        <v>1.5</v>
      </c>
      <c r="H29" s="28">
        <v>3.38</v>
      </c>
      <c r="I29" s="394">
        <v>3.7</v>
      </c>
    </row>
    <row r="30" spans="2:10" ht="41.25" customHeight="1" x14ac:dyDescent="0.2">
      <c r="B30" s="739" t="s">
        <v>253</v>
      </c>
      <c r="C30" s="739"/>
      <c r="D30" s="28" t="s">
        <v>282</v>
      </c>
      <c r="E30" s="28" t="s">
        <v>282</v>
      </c>
      <c r="F30" s="28" t="s">
        <v>213</v>
      </c>
      <c r="G30" s="28">
        <v>2</v>
      </c>
      <c r="H30" s="28">
        <v>4.1100000000000003</v>
      </c>
      <c r="I30" s="28" t="s">
        <v>213</v>
      </c>
    </row>
    <row r="31" spans="2:10" ht="41.25" customHeight="1" x14ac:dyDescent="0.2">
      <c r="B31" s="739" t="s">
        <v>245</v>
      </c>
      <c r="C31" s="739"/>
      <c r="D31" s="28" t="s">
        <v>282</v>
      </c>
      <c r="E31" s="28" t="s">
        <v>282</v>
      </c>
      <c r="F31" s="28" t="s">
        <v>213</v>
      </c>
      <c r="G31" s="28" t="s">
        <v>213</v>
      </c>
      <c r="H31" s="28" t="s">
        <v>213</v>
      </c>
      <c r="I31" s="28" t="s">
        <v>213</v>
      </c>
    </row>
    <row r="32" spans="2:10" ht="41.25" customHeight="1" x14ac:dyDescent="0.2">
      <c r="B32" s="739" t="s">
        <v>254</v>
      </c>
      <c r="C32" s="739"/>
      <c r="D32" s="28" t="s">
        <v>282</v>
      </c>
      <c r="E32" s="28" t="s">
        <v>282</v>
      </c>
      <c r="F32" s="28" t="s">
        <v>213</v>
      </c>
      <c r="G32" s="28">
        <v>3</v>
      </c>
      <c r="H32" s="28">
        <v>3.71</v>
      </c>
      <c r="I32" s="28" t="s">
        <v>213</v>
      </c>
    </row>
    <row r="33" spans="2:17" ht="22.5" customHeight="1" x14ac:dyDescent="0.2">
      <c r="B33" s="909">
        <f>D5</f>
        <v>3.5</v>
      </c>
      <c r="C33" s="909"/>
      <c r="D33" s="399">
        <f t="shared" ref="D33:I33" si="0">COUNTIF(D15:D32,"&gt;="&amp;D35)</f>
        <v>5</v>
      </c>
      <c r="E33" s="399">
        <f t="shared" si="0"/>
        <v>5</v>
      </c>
      <c r="F33" s="399">
        <f t="shared" si="0"/>
        <v>7</v>
      </c>
      <c r="G33" s="399">
        <f t="shared" si="0"/>
        <v>5</v>
      </c>
      <c r="H33" s="399">
        <f t="shared" si="0"/>
        <v>16</v>
      </c>
      <c r="I33" s="399">
        <f t="shared" si="0"/>
        <v>11</v>
      </c>
    </row>
    <row r="34" spans="2:17" ht="22.5" customHeight="1" x14ac:dyDescent="0.2">
      <c r="B34" s="734" t="s">
        <v>248</v>
      </c>
      <c r="C34" s="734"/>
      <c r="D34" s="325">
        <f t="shared" ref="D34:I34" si="1">COUNT(D15:D32)</f>
        <v>7</v>
      </c>
      <c r="E34" s="325">
        <f t="shared" si="1"/>
        <v>6</v>
      </c>
      <c r="F34" s="325">
        <f t="shared" si="1"/>
        <v>9</v>
      </c>
      <c r="G34" s="325">
        <f t="shared" si="1"/>
        <v>12</v>
      </c>
      <c r="H34" s="325">
        <f t="shared" si="1"/>
        <v>17</v>
      </c>
      <c r="I34" s="325">
        <f t="shared" si="1"/>
        <v>13</v>
      </c>
    </row>
    <row r="35" spans="2:17" ht="22.5" customHeight="1" x14ac:dyDescent="0.2">
      <c r="B35" s="799" t="s">
        <v>207</v>
      </c>
      <c r="C35" s="879"/>
      <c r="D35" s="65">
        <f t="shared" ref="D35:I35" si="2">$D$5</f>
        <v>3.5</v>
      </c>
      <c r="E35" s="65">
        <f t="shared" si="2"/>
        <v>3.5</v>
      </c>
      <c r="F35" s="65">
        <f t="shared" si="2"/>
        <v>3.5</v>
      </c>
      <c r="G35" s="65">
        <f t="shared" si="2"/>
        <v>3.5</v>
      </c>
      <c r="H35" s="65">
        <f t="shared" si="2"/>
        <v>3.5</v>
      </c>
      <c r="I35" s="65">
        <f t="shared" si="2"/>
        <v>3.5</v>
      </c>
      <c r="N35" s="801" t="s">
        <v>470</v>
      </c>
      <c r="O35" s="802"/>
      <c r="P35" s="802"/>
      <c r="Q35" s="803"/>
    </row>
    <row r="36" spans="2:17" ht="22.5" customHeight="1" x14ac:dyDescent="0.2">
      <c r="B36" s="799" t="s">
        <v>208</v>
      </c>
      <c r="C36" s="879"/>
      <c r="D36" s="43">
        <f t="shared" ref="D36:I36" si="3">D33/D34</f>
        <v>0.7142857142857143</v>
      </c>
      <c r="E36" s="43">
        <f t="shared" si="3"/>
        <v>0.83333333333333337</v>
      </c>
      <c r="F36" s="43">
        <f t="shared" si="3"/>
        <v>0.77777777777777779</v>
      </c>
      <c r="G36" s="43">
        <f t="shared" si="3"/>
        <v>0.41666666666666669</v>
      </c>
      <c r="H36" s="43">
        <f t="shared" si="3"/>
        <v>0.94117647058823528</v>
      </c>
      <c r="I36" s="43">
        <f t="shared" si="3"/>
        <v>0.84615384615384615</v>
      </c>
      <c r="N36" s="667" t="s">
        <v>438</v>
      </c>
      <c r="O36" s="667"/>
      <c r="P36" s="667"/>
      <c r="Q36" s="667"/>
    </row>
    <row r="37" spans="2:17" ht="22.5" customHeight="1" x14ac:dyDescent="0.25">
      <c r="B37" s="7"/>
      <c r="C37" s="7"/>
      <c r="D37" s="6"/>
      <c r="E37" s="6"/>
      <c r="F37" s="6"/>
      <c r="G37" s="6"/>
      <c r="H37" s="6"/>
      <c r="I37" s="6"/>
      <c r="N37" s="667"/>
      <c r="O37" s="667"/>
      <c r="P37" s="667"/>
      <c r="Q37" s="667"/>
    </row>
    <row r="38" spans="2:17" ht="22.5" customHeight="1" x14ac:dyDescent="0.2">
      <c r="B38" s="567" t="s">
        <v>469</v>
      </c>
      <c r="C38" s="568"/>
      <c r="D38" s="568"/>
      <c r="E38" s="569"/>
      <c r="F38" s="8"/>
      <c r="N38" s="667"/>
      <c r="O38" s="667"/>
      <c r="P38" s="667"/>
      <c r="Q38" s="667"/>
    </row>
    <row r="39" spans="2:17" ht="22.5" customHeight="1" x14ac:dyDescent="0.2">
      <c r="B39" s="8"/>
      <c r="C39" s="8"/>
      <c r="D39" s="8"/>
      <c r="E39" s="8"/>
      <c r="F39" s="8"/>
      <c r="N39" s="667"/>
      <c r="O39" s="667"/>
      <c r="P39" s="667"/>
      <c r="Q39" s="667"/>
    </row>
    <row r="40" spans="2:17" ht="6" customHeight="1" x14ac:dyDescent="0.2">
      <c r="B40" s="8"/>
      <c r="C40" s="8"/>
      <c r="D40" s="8"/>
      <c r="E40" s="8"/>
      <c r="F40" s="8"/>
      <c r="N40" s="667"/>
      <c r="O40" s="667"/>
      <c r="P40" s="667"/>
      <c r="Q40" s="667"/>
    </row>
    <row r="41" spans="2:17" ht="19.5" customHeight="1" x14ac:dyDescent="0.2">
      <c r="B41" s="8"/>
      <c r="C41" s="8"/>
      <c r="D41" s="8"/>
      <c r="E41" s="8"/>
      <c r="F41" s="8"/>
      <c r="N41" s="667"/>
      <c r="O41" s="667"/>
      <c r="P41" s="667"/>
      <c r="Q41" s="667"/>
    </row>
    <row r="42" spans="2:17" ht="19.5" customHeight="1" x14ac:dyDescent="0.2">
      <c r="B42" s="8"/>
      <c r="C42" s="8"/>
      <c r="D42" s="8"/>
      <c r="E42" s="8"/>
      <c r="F42" s="8"/>
      <c r="N42" s="667"/>
      <c r="O42" s="667"/>
      <c r="P42" s="667"/>
      <c r="Q42" s="667"/>
    </row>
    <row r="43" spans="2:17" ht="19.5" customHeight="1" x14ac:dyDescent="0.2">
      <c r="B43" s="8"/>
      <c r="C43" s="8"/>
      <c r="D43" s="8"/>
      <c r="E43" s="8"/>
      <c r="F43" s="8"/>
      <c r="N43" s="667"/>
      <c r="O43" s="667"/>
      <c r="P43" s="667"/>
      <c r="Q43" s="667"/>
    </row>
    <row r="44" spans="2:17" ht="19.5" customHeight="1" x14ac:dyDescent="0.2">
      <c r="B44" s="8"/>
      <c r="C44" s="8"/>
      <c r="D44" s="8"/>
      <c r="E44" s="8"/>
      <c r="F44" s="8"/>
      <c r="N44" s="667"/>
      <c r="O44" s="667"/>
      <c r="P44" s="667"/>
      <c r="Q44" s="667"/>
    </row>
    <row r="45" spans="2:17" ht="19.5" customHeight="1" x14ac:dyDescent="0.2">
      <c r="B45" s="8"/>
      <c r="C45" s="8"/>
      <c r="D45" s="8"/>
      <c r="E45" s="8"/>
      <c r="F45" s="8"/>
      <c r="N45" s="667"/>
      <c r="O45" s="667"/>
      <c r="P45" s="667"/>
      <c r="Q45" s="667"/>
    </row>
    <row r="46" spans="2:17" ht="19.5" customHeight="1" x14ac:dyDescent="0.2">
      <c r="B46" s="8"/>
      <c r="C46" s="8"/>
      <c r="D46" s="8"/>
      <c r="E46" s="8"/>
      <c r="F46" s="8"/>
    </row>
    <row r="47" spans="2:17" ht="19.5" customHeight="1" x14ac:dyDescent="0.2">
      <c r="B47" s="8"/>
      <c r="C47" s="8"/>
      <c r="D47" s="8"/>
      <c r="E47" s="8"/>
      <c r="F47" s="8"/>
    </row>
    <row r="48" spans="2:17" ht="19.5" customHeight="1" x14ac:dyDescent="0.2">
      <c r="B48" s="8"/>
      <c r="C48" s="8"/>
      <c r="D48" s="8"/>
      <c r="E48" s="8"/>
      <c r="F48" s="8"/>
    </row>
    <row r="49" spans="8:10" ht="19.5" customHeight="1" x14ac:dyDescent="0.2"/>
    <row r="50" spans="8:10" ht="19.5" customHeight="1" x14ac:dyDescent="0.2">
      <c r="H50" s="559" t="s">
        <v>155</v>
      </c>
      <c r="I50" s="560"/>
      <c r="J50" s="560"/>
    </row>
  </sheetData>
  <sheetProtection formatCells="0" formatColumns="0" formatRows="0" insertColumns="0" insertRows="0" insertHyperlinks="0" deleteColumns="0" deleteRows="0" pivotTables="0"/>
  <mergeCells count="54">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B19:C19"/>
    <mergeCell ref="B9:C9"/>
    <mergeCell ref="B11:J11"/>
    <mergeCell ref="B15:C15"/>
    <mergeCell ref="B16:C16"/>
    <mergeCell ref="B17:C17"/>
    <mergeCell ref="B18:C18"/>
    <mergeCell ref="B14:C14"/>
    <mergeCell ref="N36:Q45"/>
    <mergeCell ref="N35:Q35"/>
    <mergeCell ref="B32:C32"/>
    <mergeCell ref="B20:C20"/>
    <mergeCell ref="B21:C21"/>
    <mergeCell ref="B23:C23"/>
    <mergeCell ref="B24:C24"/>
    <mergeCell ref="B25:C25"/>
    <mergeCell ref="B26:C26"/>
    <mergeCell ref="B27:C27"/>
    <mergeCell ref="B28:C28"/>
    <mergeCell ref="B29:C29"/>
    <mergeCell ref="B30:C30"/>
    <mergeCell ref="B31:C31"/>
    <mergeCell ref="B22:C22"/>
    <mergeCell ref="H50:J50"/>
    <mergeCell ref="B33:C33"/>
    <mergeCell ref="B34:C34"/>
    <mergeCell ref="B35:C35"/>
    <mergeCell ref="B36:C36"/>
    <mergeCell ref="B38:E38"/>
    <mergeCell ref="B8:C8"/>
    <mergeCell ref="D8:E8"/>
    <mergeCell ref="F8:G8"/>
    <mergeCell ref="H8:J8"/>
    <mergeCell ref="D9:E9"/>
    <mergeCell ref="F9:G9"/>
    <mergeCell ref="H9:J9"/>
  </mergeCells>
  <conditionalFormatting sqref="D15:I32">
    <cfRule type="cellIs" dxfId="6" priority="1" operator="lessThan">
      <formula>3.5</formula>
    </cfRule>
  </conditionalFormatting>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A3332-660B-4E4D-B5D6-B1E731B48939}">
  <sheetPr>
    <tabColor theme="9" tint="-0.499984740745262"/>
  </sheetPr>
  <dimension ref="B2:O33"/>
  <sheetViews>
    <sheetView zoomScale="90" zoomScaleNormal="90" workbookViewId="0"/>
  </sheetViews>
  <sheetFormatPr defaultColWidth="9.140625" defaultRowHeight="12.75" x14ac:dyDescent="0.2"/>
  <cols>
    <col min="3" max="3" width="27.7109375" customWidth="1"/>
    <col min="4" max="4" width="13.140625" customWidth="1"/>
    <col min="5" max="5" width="23.42578125" customWidth="1"/>
    <col min="6" max="6" width="16.28515625" customWidth="1"/>
    <col min="7" max="7" width="14" customWidth="1"/>
    <col min="8" max="8" width="15.28515625" customWidth="1"/>
    <col min="9" max="9" width="10.85546875" customWidth="1"/>
    <col min="10" max="10" width="13.85546875" customWidth="1"/>
  </cols>
  <sheetData>
    <row r="2" spans="2:10" ht="43.5" customHeight="1" x14ac:dyDescent="0.25">
      <c r="B2" s="588"/>
      <c r="C2" s="589"/>
      <c r="D2" s="565"/>
      <c r="E2" s="590" t="s">
        <v>192</v>
      </c>
      <c r="F2" s="589"/>
      <c r="G2" s="589"/>
      <c r="H2" s="589"/>
      <c r="I2" s="589"/>
      <c r="J2" s="565"/>
    </row>
    <row r="3" spans="2:10" s="177" customFormat="1" ht="16.5" x14ac:dyDescent="0.2"/>
    <row r="4" spans="2:10" ht="54" customHeight="1" x14ac:dyDescent="0.25">
      <c r="B4" s="561" t="s">
        <v>193</v>
      </c>
      <c r="C4" s="563"/>
      <c r="D4" s="587" t="str">
        <f>Índex!B12</f>
        <v>PE1.02_Ind02.</v>
      </c>
      <c r="E4" s="565"/>
      <c r="F4" s="561" t="s">
        <v>194</v>
      </c>
      <c r="G4" s="563"/>
      <c r="H4" s="587" t="str">
        <f>Índex!C12</f>
        <v>Nombre d'informes de qualitat presentats a la Junta Permanent i/o Junta de Facultat</v>
      </c>
      <c r="I4" s="589"/>
      <c r="J4" s="565"/>
    </row>
    <row r="5" spans="2:10" ht="29.25" customHeight="1" x14ac:dyDescent="0.25">
      <c r="B5" s="561" t="s">
        <v>195</v>
      </c>
      <c r="C5" s="563"/>
      <c r="D5" s="583" t="str">
        <f>Índex!F12</f>
        <v>mínim 2</v>
      </c>
      <c r="E5" s="584"/>
      <c r="F5" s="585" t="s">
        <v>196</v>
      </c>
      <c r="G5" s="563"/>
      <c r="H5" s="654" t="s">
        <v>197</v>
      </c>
      <c r="I5" s="655"/>
      <c r="J5" s="656"/>
    </row>
    <row r="6" spans="2:10" ht="37.5" customHeight="1" x14ac:dyDescent="0.25">
      <c r="B6" s="561" t="s">
        <v>471</v>
      </c>
      <c r="C6" s="582"/>
      <c r="D6" s="583" t="str">
        <f>Índex!H12</f>
        <v>Objectiu de Qualitat. Cultura de Qualitat</v>
      </c>
      <c r="E6" s="584"/>
      <c r="F6" s="585" t="s">
        <v>462</v>
      </c>
      <c r="G6" s="563"/>
      <c r="H6" s="654"/>
      <c r="I6" s="655"/>
      <c r="J6" s="656"/>
    </row>
    <row r="7" spans="2:10" ht="27" customHeight="1" x14ac:dyDescent="0.25">
      <c r="B7" s="561" t="s">
        <v>475</v>
      </c>
      <c r="C7" s="563"/>
      <c r="D7" s="636"/>
      <c r="E7" s="639"/>
      <c r="F7" s="561" t="s">
        <v>464</v>
      </c>
      <c r="G7" s="562"/>
      <c r="H7" s="579" t="s">
        <v>198</v>
      </c>
      <c r="I7" s="580"/>
      <c r="J7" s="581"/>
    </row>
    <row r="8" spans="2:10" ht="27" customHeight="1" x14ac:dyDescent="0.25">
      <c r="B8" s="561" t="s">
        <v>465</v>
      </c>
      <c r="C8" s="563"/>
      <c r="D8" s="636" t="str">
        <f>Índex!D12</f>
        <v xml:space="preserve"> Vicedegana d'Afers Acadèmics de Grau</v>
      </c>
      <c r="E8" s="639"/>
      <c r="F8" s="561" t="s">
        <v>472</v>
      </c>
      <c r="G8" s="562"/>
      <c r="H8" s="579" t="str">
        <f>Índex!E12</f>
        <v>Gestora de Qualitat</v>
      </c>
      <c r="I8" s="580"/>
      <c r="J8" s="581"/>
    </row>
    <row r="9" spans="2:10" ht="55.5" customHeight="1" x14ac:dyDescent="0.25">
      <c r="B9" s="561" t="s">
        <v>461</v>
      </c>
      <c r="C9" s="563"/>
      <c r="D9" s="636" t="str">
        <f>Índex!G12</f>
        <v xml:space="preserve"> PE1.02. Definició, Desplegament, Seguiment i Revisió del Sistema de Garantia Interna de Qualitat (SGIQ)</v>
      </c>
      <c r="E9" s="639"/>
      <c r="F9" s="561" t="s">
        <v>467</v>
      </c>
      <c r="G9" s="562"/>
      <c r="H9" s="579"/>
      <c r="I9" s="580"/>
      <c r="J9" s="581"/>
    </row>
    <row r="10" spans="2:10" ht="13.5" x14ac:dyDescent="0.25">
      <c r="B10" s="175"/>
      <c r="C10" s="175"/>
      <c r="D10" s="175"/>
      <c r="E10" s="175"/>
      <c r="F10" s="175"/>
      <c r="G10" s="175"/>
      <c r="H10" s="175"/>
      <c r="I10" s="175"/>
      <c r="J10" s="175"/>
    </row>
    <row r="11" spans="2:10" ht="13.5" x14ac:dyDescent="0.25">
      <c r="B11" s="300"/>
      <c r="C11" s="186"/>
      <c r="D11" s="186"/>
      <c r="E11" s="186"/>
      <c r="F11" s="186"/>
      <c r="G11" s="186"/>
      <c r="H11" s="186"/>
      <c r="I11" s="186"/>
      <c r="J11" s="186"/>
    </row>
    <row r="12" spans="2:10" ht="13.5" x14ac:dyDescent="0.25">
      <c r="B12" s="651" t="s">
        <v>468</v>
      </c>
      <c r="C12" s="652"/>
      <c r="D12" s="652"/>
      <c r="E12" s="652"/>
      <c r="F12" s="652"/>
      <c r="G12" s="652"/>
      <c r="H12" s="652"/>
      <c r="I12" s="652"/>
      <c r="J12" s="653"/>
    </row>
    <row r="13" spans="2:10" ht="14.25" thickBot="1" x14ac:dyDescent="0.3">
      <c r="B13" s="179"/>
      <c r="C13" s="179"/>
      <c r="D13" s="179"/>
      <c r="E13" s="179"/>
      <c r="F13" s="179"/>
      <c r="G13" s="179"/>
      <c r="H13" s="179"/>
      <c r="I13" s="179"/>
      <c r="J13" s="179"/>
    </row>
    <row r="14" spans="2:10" ht="30" customHeight="1" thickBot="1" x14ac:dyDescent="0.3">
      <c r="B14" s="175"/>
      <c r="C14" s="193"/>
      <c r="D14" s="115" t="s">
        <v>201</v>
      </c>
      <c r="E14" s="118" t="s">
        <v>202</v>
      </c>
      <c r="F14" s="232" t="s">
        <v>203</v>
      </c>
      <c r="G14" s="235" t="s">
        <v>204</v>
      </c>
      <c r="H14" s="233" t="s">
        <v>205</v>
      </c>
      <c r="I14" s="233" t="s">
        <v>256</v>
      </c>
      <c r="J14" s="175"/>
    </row>
    <row r="15" spans="2:10" ht="15" thickBot="1" x14ac:dyDescent="0.3">
      <c r="B15" s="649" t="s">
        <v>206</v>
      </c>
      <c r="C15" s="650"/>
      <c r="D15" s="116">
        <v>2</v>
      </c>
      <c r="E15" s="116">
        <v>2</v>
      </c>
      <c r="F15" s="119">
        <v>2</v>
      </c>
      <c r="G15" s="234">
        <v>2</v>
      </c>
      <c r="H15" s="234">
        <v>2</v>
      </c>
      <c r="I15" s="234">
        <v>3</v>
      </c>
      <c r="J15" s="175"/>
    </row>
    <row r="16" spans="2:10" ht="15" thickBot="1" x14ac:dyDescent="0.3">
      <c r="B16" s="649" t="s">
        <v>5</v>
      </c>
      <c r="C16" s="650"/>
      <c r="D16" s="117">
        <v>2</v>
      </c>
      <c r="E16" s="117">
        <v>2</v>
      </c>
      <c r="F16" s="120">
        <v>2</v>
      </c>
      <c r="G16" s="234">
        <v>2</v>
      </c>
      <c r="H16" s="234">
        <v>2</v>
      </c>
      <c r="I16" s="234">
        <v>2</v>
      </c>
      <c r="J16" s="179"/>
    </row>
    <row r="17" spans="2:15" ht="15" thickBot="1" x14ac:dyDescent="0.3">
      <c r="B17" s="649" t="s">
        <v>215</v>
      </c>
      <c r="C17" s="650"/>
      <c r="D17" s="236">
        <f t="shared" ref="D17:I17" si="0">D15/D16</f>
        <v>1</v>
      </c>
      <c r="E17" s="236">
        <f t="shared" si="0"/>
        <v>1</v>
      </c>
      <c r="F17" s="236">
        <f t="shared" si="0"/>
        <v>1</v>
      </c>
      <c r="G17" s="236">
        <f t="shared" si="0"/>
        <v>1</v>
      </c>
      <c r="H17" s="236">
        <f t="shared" si="0"/>
        <v>1</v>
      </c>
      <c r="I17" s="236">
        <f t="shared" si="0"/>
        <v>1.5</v>
      </c>
      <c r="J17" s="175"/>
    </row>
    <row r="21" spans="2:15" x14ac:dyDescent="0.2">
      <c r="B21" s="567" t="s">
        <v>469</v>
      </c>
      <c r="C21" s="568"/>
      <c r="D21" s="568"/>
      <c r="E21" s="569"/>
    </row>
    <row r="23" spans="2:15" x14ac:dyDescent="0.2">
      <c r="L23" s="633" t="s">
        <v>470</v>
      </c>
      <c r="M23" s="634"/>
      <c r="N23" s="634"/>
      <c r="O23" s="635"/>
    </row>
    <row r="24" spans="2:15" x14ac:dyDescent="0.2">
      <c r="L24" s="640" t="s">
        <v>155</v>
      </c>
      <c r="M24" s="641"/>
      <c r="N24" s="641"/>
      <c r="O24" s="642"/>
    </row>
    <row r="25" spans="2:15" x14ac:dyDescent="0.2">
      <c r="L25" s="643"/>
      <c r="M25" s="644"/>
      <c r="N25" s="644"/>
      <c r="O25" s="645"/>
    </row>
    <row r="26" spans="2:15" x14ac:dyDescent="0.2">
      <c r="L26" s="643"/>
      <c r="M26" s="644"/>
      <c r="N26" s="644"/>
      <c r="O26" s="645"/>
    </row>
    <row r="27" spans="2:15" x14ac:dyDescent="0.2">
      <c r="L27" s="643"/>
      <c r="M27" s="644"/>
      <c r="N27" s="644"/>
      <c r="O27" s="645"/>
    </row>
    <row r="28" spans="2:15" x14ac:dyDescent="0.2">
      <c r="L28" s="643"/>
      <c r="M28" s="644"/>
      <c r="N28" s="644"/>
      <c r="O28" s="645"/>
    </row>
    <row r="29" spans="2:15" x14ac:dyDescent="0.2">
      <c r="L29" s="643"/>
      <c r="M29" s="644"/>
      <c r="N29" s="644"/>
      <c r="O29" s="645"/>
    </row>
    <row r="30" spans="2:15" x14ac:dyDescent="0.2">
      <c r="L30" s="643"/>
      <c r="M30" s="644"/>
      <c r="N30" s="644"/>
      <c r="O30" s="645"/>
    </row>
    <row r="31" spans="2:15" x14ac:dyDescent="0.2">
      <c r="L31" s="643"/>
      <c r="M31" s="644"/>
      <c r="N31" s="644"/>
      <c r="O31" s="645"/>
    </row>
    <row r="32" spans="2:15" x14ac:dyDescent="0.2">
      <c r="L32" s="643"/>
      <c r="M32" s="644"/>
      <c r="N32" s="644"/>
      <c r="O32" s="645"/>
    </row>
    <row r="33" spans="12:15" x14ac:dyDescent="0.2">
      <c r="L33" s="646"/>
      <c r="M33" s="647"/>
      <c r="N33" s="647"/>
      <c r="O33" s="648"/>
    </row>
  </sheetData>
  <sheetProtection formatCells="0" formatColumns="0" formatRows="0" insertColumns="0" insertRows="0" insertHyperlinks="0" deleteColumns="0" deleteRows="0" pivotTables="0"/>
  <mergeCells count="33">
    <mergeCell ref="L23:O23"/>
    <mergeCell ref="L24:O33"/>
    <mergeCell ref="B6:C6"/>
    <mergeCell ref="D6:E6"/>
    <mergeCell ref="F6:G6"/>
    <mergeCell ref="H6:J6"/>
    <mergeCell ref="H7:J7"/>
    <mergeCell ref="B8:C8"/>
    <mergeCell ref="F8:G8"/>
    <mergeCell ref="D8:E8"/>
    <mergeCell ref="H8:J8"/>
    <mergeCell ref="D9:E9"/>
    <mergeCell ref="F9:G9"/>
    <mergeCell ref="H9:J9"/>
    <mergeCell ref="B9:C9"/>
    <mergeCell ref="B15:C15"/>
    <mergeCell ref="B21:E21"/>
    <mergeCell ref="B16:C16"/>
    <mergeCell ref="B17:C17"/>
    <mergeCell ref="B5:C5"/>
    <mergeCell ref="D5:E5"/>
    <mergeCell ref="B12:J12"/>
    <mergeCell ref="F5:G5"/>
    <mergeCell ref="H5:J5"/>
    <mergeCell ref="B7:C7"/>
    <mergeCell ref="D7:E7"/>
    <mergeCell ref="F7:G7"/>
    <mergeCell ref="B2:D2"/>
    <mergeCell ref="E2:J2"/>
    <mergeCell ref="B4:C4"/>
    <mergeCell ref="D4:E4"/>
    <mergeCell ref="F4:G4"/>
    <mergeCell ref="H4:J4"/>
  </mergeCells>
  <phoneticPr fontId="95" type="noConversion"/>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7300B-A1B3-4370-B549-94DEBA72ECB8}">
  <sheetPr>
    <tabColor theme="9" tint="-0.499984740745262"/>
    <pageSetUpPr fitToPage="1"/>
  </sheetPr>
  <dimension ref="B2:K54"/>
  <sheetViews>
    <sheetView showGridLines="0" workbookViewId="0">
      <selection activeCell="K6" sqref="K6"/>
    </sheetView>
  </sheetViews>
  <sheetFormatPr defaultColWidth="12.5703125" defaultRowHeight="15.75" customHeight="1" x14ac:dyDescent="0.2"/>
  <cols>
    <col min="1" max="1" width="3.42578125" customWidth="1"/>
    <col min="2" max="2" width="14.140625" customWidth="1"/>
    <col min="3" max="3" width="16.5703125" customWidth="1"/>
    <col min="4" max="4" width="25" customWidth="1"/>
    <col min="5" max="9" width="12.5703125" customWidth="1"/>
    <col min="10" max="10" width="36.28515625" customWidth="1"/>
    <col min="11" max="11" width="44.42578125" customWidth="1"/>
    <col min="12" max="20" width="7.5703125" customWidth="1"/>
  </cols>
  <sheetData>
    <row r="2" spans="2:10" ht="55.5" customHeight="1" x14ac:dyDescent="0.2">
      <c r="B2" s="714"/>
      <c r="C2" s="714"/>
      <c r="D2" s="714"/>
      <c r="E2" s="1086" t="s">
        <v>192</v>
      </c>
      <c r="F2" s="1086"/>
      <c r="G2" s="1086"/>
      <c r="H2" s="1086"/>
      <c r="I2" s="1086"/>
      <c r="J2" s="1086"/>
    </row>
    <row r="3" spans="2:10" ht="22.5" customHeight="1" x14ac:dyDescent="0.2">
      <c r="B3" s="41"/>
      <c r="C3" s="41"/>
      <c r="D3" s="42"/>
      <c r="E3" s="42"/>
      <c r="F3" s="42"/>
      <c r="G3" s="42"/>
      <c r="H3" s="42"/>
      <c r="I3" s="42"/>
    </row>
    <row r="4" spans="2:10" ht="42" customHeight="1" x14ac:dyDescent="0.2">
      <c r="B4" s="567" t="s">
        <v>193</v>
      </c>
      <c r="C4" s="567"/>
      <c r="D4" s="786" t="str">
        <f>Índex!B75</f>
        <v xml:space="preserve"> PS5.04_Ind04. </v>
      </c>
      <c r="E4" s="786"/>
      <c r="F4" s="788" t="s">
        <v>194</v>
      </c>
      <c r="G4" s="788"/>
      <c r="H4" s="786" t="str">
        <f>Índex!C75</f>
        <v>Percentatge de respostes per titulació de l’afirmació “Tornaria a triar la mateixa titulació” a les enquestes de satisfacció de la UAB</v>
      </c>
      <c r="I4" s="786"/>
      <c r="J4" s="786"/>
    </row>
    <row r="5" spans="2:10" ht="22.5" customHeight="1" x14ac:dyDescent="0.2">
      <c r="B5" s="567" t="s">
        <v>195</v>
      </c>
      <c r="C5" s="567"/>
      <c r="D5" s="786" t="str">
        <f>Índex!F75</f>
        <v>G65%; M 85%</v>
      </c>
      <c r="E5" s="786"/>
      <c r="F5" s="788" t="s">
        <v>196</v>
      </c>
      <c r="G5" s="788"/>
      <c r="H5" s="786" t="s">
        <v>197</v>
      </c>
      <c r="I5" s="786"/>
      <c r="J5" s="786"/>
    </row>
    <row r="6" spans="2:10" ht="22.5" customHeight="1" x14ac:dyDescent="0.2">
      <c r="B6" s="567" t="s">
        <v>471</v>
      </c>
      <c r="C6" s="567"/>
      <c r="D6" s="786" t="str">
        <f>Índex!H75</f>
        <v>Objectiu de Qualitat. Grups d'interès</v>
      </c>
      <c r="E6" s="786"/>
      <c r="F6" s="788" t="s">
        <v>462</v>
      </c>
      <c r="G6" s="788"/>
      <c r="H6" s="786"/>
      <c r="I6" s="786"/>
      <c r="J6" s="786"/>
    </row>
    <row r="7" spans="2:10" ht="22.5" customHeight="1" x14ac:dyDescent="0.2">
      <c r="B7" s="567" t="s">
        <v>463</v>
      </c>
      <c r="C7" s="567"/>
      <c r="D7" s="786"/>
      <c r="E7" s="786"/>
      <c r="F7" s="788" t="s">
        <v>577</v>
      </c>
      <c r="G7" s="788"/>
      <c r="H7" s="786" t="s">
        <v>198</v>
      </c>
      <c r="I7" s="786"/>
      <c r="J7" s="786"/>
    </row>
    <row r="8" spans="2:10" ht="22.5" customHeight="1" x14ac:dyDescent="0.2">
      <c r="B8" s="567" t="s">
        <v>465</v>
      </c>
      <c r="C8" s="567"/>
      <c r="D8" s="786" t="str">
        <f>Índex!D75</f>
        <v xml:space="preserve">Vicedegà d’Alumnat i de Promoció  </v>
      </c>
      <c r="E8" s="786"/>
      <c r="F8" s="788" t="s">
        <v>472</v>
      </c>
      <c r="G8" s="788"/>
      <c r="H8" s="786" t="str">
        <f>Índex!E75</f>
        <v>Gestora de Qualitat</v>
      </c>
      <c r="I8" s="786"/>
      <c r="J8" s="786"/>
    </row>
    <row r="9" spans="2:10" ht="40.5" customHeight="1" x14ac:dyDescent="0.2">
      <c r="B9" s="567" t="s">
        <v>461</v>
      </c>
      <c r="C9" s="567"/>
      <c r="D9" s="786" t="str">
        <f>Índex!G75</f>
        <v>PS5.04. Satisfacció dels Grups d’Interès</v>
      </c>
      <c r="E9" s="786"/>
      <c r="F9" s="788" t="s">
        <v>467</v>
      </c>
      <c r="G9" s="788"/>
      <c r="H9" s="786" t="s">
        <v>576</v>
      </c>
      <c r="I9" s="786"/>
      <c r="J9" s="786"/>
    </row>
    <row r="10" spans="2:10" ht="7.5" customHeight="1" x14ac:dyDescent="0.2"/>
    <row r="11" spans="2:10" ht="22.5" customHeight="1" x14ac:dyDescent="0.2">
      <c r="B11" s="567" t="s">
        <v>468</v>
      </c>
      <c r="C11" s="567"/>
      <c r="D11" s="567"/>
      <c r="E11" s="567"/>
      <c r="F11" s="567"/>
      <c r="G11" s="567"/>
      <c r="H11" s="567"/>
      <c r="I11" s="567"/>
      <c r="J11" s="567"/>
    </row>
    <row r="12" spans="2:10" ht="22.5" customHeight="1" x14ac:dyDescent="0.2">
      <c r="B12" s="30" t="s">
        <v>155</v>
      </c>
      <c r="C12" s="12"/>
      <c r="D12" s="12"/>
      <c r="E12" s="12"/>
      <c r="F12" s="12"/>
      <c r="G12" s="12"/>
      <c r="H12" s="12"/>
      <c r="I12" s="12"/>
      <c r="J12" s="12"/>
    </row>
    <row r="13" spans="2:10" ht="22.5" customHeight="1" x14ac:dyDescent="0.2"/>
    <row r="14" spans="2:10" ht="22.5" customHeight="1" x14ac:dyDescent="0.2">
      <c r="B14" s="965"/>
      <c r="C14" s="966"/>
      <c r="D14" s="89" t="s">
        <v>200</v>
      </c>
      <c r="E14" s="89" t="s">
        <v>201</v>
      </c>
      <c r="F14" s="89" t="s">
        <v>202</v>
      </c>
      <c r="G14" s="241" t="s">
        <v>203</v>
      </c>
      <c r="H14" s="78" t="s">
        <v>204</v>
      </c>
      <c r="I14" s="78" t="s">
        <v>205</v>
      </c>
    </row>
    <row r="15" spans="2:10" ht="41.25" customHeight="1" x14ac:dyDescent="0.2">
      <c r="B15" s="1084" t="s">
        <v>218</v>
      </c>
      <c r="C15" s="1084"/>
      <c r="D15" s="271">
        <v>0.63639999999999997</v>
      </c>
      <c r="E15" s="271" t="s">
        <v>213</v>
      </c>
      <c r="F15" s="271">
        <v>0.625</v>
      </c>
      <c r="G15" s="271">
        <v>0.8</v>
      </c>
      <c r="H15" s="271">
        <v>0.88239999999999996</v>
      </c>
      <c r="I15" s="271">
        <v>0.46150000000000002</v>
      </c>
      <c r="J15" s="97"/>
    </row>
    <row r="16" spans="2:10" ht="41.25" customHeight="1" x14ac:dyDescent="0.2">
      <c r="B16" s="1084" t="s">
        <v>235</v>
      </c>
      <c r="C16" s="1084"/>
      <c r="D16" s="271" t="s">
        <v>213</v>
      </c>
      <c r="E16" s="271" t="s">
        <v>213</v>
      </c>
      <c r="F16" s="271">
        <v>0.8</v>
      </c>
      <c r="G16" s="271" t="s">
        <v>213</v>
      </c>
      <c r="H16" s="271">
        <v>100</v>
      </c>
      <c r="I16" s="271">
        <v>0.42859999999999998</v>
      </c>
      <c r="J16" s="97"/>
    </row>
    <row r="17" spans="2:10" ht="41.25" customHeight="1" x14ac:dyDescent="0.2">
      <c r="B17" s="1084" t="s">
        <v>262</v>
      </c>
      <c r="C17" s="1084"/>
      <c r="D17" s="271" t="s">
        <v>213</v>
      </c>
      <c r="E17" s="271">
        <v>1</v>
      </c>
      <c r="F17" s="271">
        <v>0.66669999999999996</v>
      </c>
      <c r="G17" s="271">
        <v>0.5</v>
      </c>
      <c r="H17" s="271">
        <v>0.5</v>
      </c>
      <c r="I17" s="271">
        <v>0.77780000000000005</v>
      </c>
      <c r="J17" s="97"/>
    </row>
    <row r="18" spans="2:10" ht="41.25" customHeight="1" x14ac:dyDescent="0.2">
      <c r="B18" s="1084" t="s">
        <v>221</v>
      </c>
      <c r="C18" s="1084"/>
      <c r="D18" s="271">
        <v>0.77780000000000005</v>
      </c>
      <c r="E18" s="271">
        <v>0.85709999999999997</v>
      </c>
      <c r="F18" s="271">
        <v>0.69230000000000003</v>
      </c>
      <c r="G18" s="271">
        <v>0.66669999999999996</v>
      </c>
      <c r="H18" s="271">
        <v>57.14</v>
      </c>
      <c r="I18" s="271">
        <v>0.88670000000000004</v>
      </c>
      <c r="J18" s="97"/>
    </row>
    <row r="19" spans="2:10" ht="41.25" customHeight="1" x14ac:dyDescent="0.2">
      <c r="B19" s="1084" t="s">
        <v>294</v>
      </c>
      <c r="C19" s="1084"/>
      <c r="D19" s="271" t="s">
        <v>213</v>
      </c>
      <c r="E19" s="271" t="s">
        <v>213</v>
      </c>
      <c r="F19" s="271" t="s">
        <v>213</v>
      </c>
      <c r="G19" s="271">
        <v>1</v>
      </c>
      <c r="H19" s="271">
        <v>66.67</v>
      </c>
      <c r="I19" s="271">
        <v>0.85709999999999997</v>
      </c>
    </row>
    <row r="20" spans="2:10" ht="41.25" customHeight="1" x14ac:dyDescent="0.2">
      <c r="B20" s="1084" t="s">
        <v>295</v>
      </c>
      <c r="C20" s="1084"/>
      <c r="D20" s="271">
        <v>0.25</v>
      </c>
      <c r="E20" s="271">
        <v>0.71430000000000005</v>
      </c>
      <c r="F20" s="271" t="s">
        <v>213</v>
      </c>
      <c r="G20" s="271">
        <v>0.5</v>
      </c>
      <c r="H20" s="271">
        <v>87.5</v>
      </c>
      <c r="I20" s="271">
        <v>0.83330000000000004</v>
      </c>
    </row>
    <row r="21" spans="2:10" ht="41.25" customHeight="1" x14ac:dyDescent="0.2">
      <c r="B21" s="1084" t="s">
        <v>224</v>
      </c>
      <c r="C21" s="1084"/>
      <c r="D21" s="271">
        <v>0.6</v>
      </c>
      <c r="E21" s="271" t="s">
        <v>213</v>
      </c>
      <c r="F21" s="271" t="s">
        <v>213</v>
      </c>
      <c r="G21" s="271" t="s">
        <v>213</v>
      </c>
      <c r="H21" s="271">
        <v>0.57140000000000002</v>
      </c>
      <c r="I21" s="271" t="s">
        <v>213</v>
      </c>
    </row>
    <row r="22" spans="2:10" ht="41.25" customHeight="1" x14ac:dyDescent="0.2">
      <c r="B22" s="1084" t="s">
        <v>439</v>
      </c>
      <c r="C22" s="1084"/>
      <c r="D22" s="271" t="s">
        <v>213</v>
      </c>
      <c r="E22" s="271" t="s">
        <v>213</v>
      </c>
      <c r="F22" s="271" t="s">
        <v>213</v>
      </c>
      <c r="G22" s="271" t="s">
        <v>213</v>
      </c>
      <c r="H22" s="271">
        <v>1</v>
      </c>
      <c r="I22" s="271">
        <v>0.92310000000000003</v>
      </c>
    </row>
    <row r="23" spans="2:10" ht="41.25" customHeight="1" x14ac:dyDescent="0.2">
      <c r="B23" s="1084" t="s">
        <v>226</v>
      </c>
      <c r="C23" s="1084"/>
      <c r="D23" s="271">
        <v>1</v>
      </c>
      <c r="E23" s="271">
        <v>0.64290000000000003</v>
      </c>
      <c r="F23" s="271">
        <v>0.54549999999999998</v>
      </c>
      <c r="G23" s="271">
        <v>0.8</v>
      </c>
      <c r="H23" s="271">
        <v>0.66669999999999996</v>
      </c>
      <c r="I23" s="271">
        <v>0.92859999999999998</v>
      </c>
    </row>
    <row r="24" spans="2:10" ht="41.25" customHeight="1" x14ac:dyDescent="0.2">
      <c r="B24" s="1084" t="s">
        <v>227</v>
      </c>
      <c r="C24" s="1084"/>
      <c r="D24" s="271">
        <v>0.63639999999999997</v>
      </c>
      <c r="E24" s="271">
        <v>0.55559999999999998</v>
      </c>
      <c r="F24" s="271">
        <v>0.73329999999999995</v>
      </c>
      <c r="G24" s="271">
        <v>0.5</v>
      </c>
      <c r="H24" s="271">
        <v>0.72729999999999995</v>
      </c>
      <c r="I24" s="271">
        <v>0.4667</v>
      </c>
    </row>
    <row r="25" spans="2:10" ht="41.25" customHeight="1" x14ac:dyDescent="0.2">
      <c r="B25" s="1084" t="s">
        <v>228</v>
      </c>
      <c r="C25" s="1084"/>
      <c r="D25" s="271">
        <v>0.5806</v>
      </c>
      <c r="E25" s="271">
        <v>0.74070000000000003</v>
      </c>
      <c r="F25" s="271">
        <v>0.66669999999999996</v>
      </c>
      <c r="G25" s="271">
        <v>1</v>
      </c>
      <c r="H25" s="271">
        <v>0.84240000000000004</v>
      </c>
      <c r="I25" s="271">
        <v>0.82350000000000001</v>
      </c>
    </row>
    <row r="26" spans="2:10" ht="41.25" customHeight="1" x14ac:dyDescent="0.2">
      <c r="B26" s="1084" t="s">
        <v>241</v>
      </c>
      <c r="C26" s="1084"/>
      <c r="D26" s="271" t="s">
        <v>213</v>
      </c>
      <c r="E26" s="271" t="s">
        <v>213</v>
      </c>
      <c r="F26" s="271">
        <v>0.5</v>
      </c>
      <c r="G26" s="271" t="s">
        <v>213</v>
      </c>
      <c r="H26" s="271">
        <v>0.84209999999999996</v>
      </c>
      <c r="I26" s="271">
        <v>0.46150000000000002</v>
      </c>
    </row>
    <row r="27" spans="2:10" ht="41.25" customHeight="1" x14ac:dyDescent="0.2">
      <c r="B27" s="1084" t="s">
        <v>266</v>
      </c>
      <c r="C27" s="1084"/>
      <c r="D27" s="271" t="s">
        <v>213</v>
      </c>
      <c r="E27" s="271" t="s">
        <v>213</v>
      </c>
      <c r="F27" s="271" t="s">
        <v>213</v>
      </c>
      <c r="G27" s="271" t="s">
        <v>213</v>
      </c>
      <c r="H27" s="271">
        <v>0.625</v>
      </c>
      <c r="I27" s="271" t="s">
        <v>213</v>
      </c>
    </row>
    <row r="28" spans="2:10" ht="41.25" customHeight="1" x14ac:dyDescent="0.2">
      <c r="B28" s="1084" t="s">
        <v>252</v>
      </c>
      <c r="C28" s="1084"/>
      <c r="D28" s="271" t="s">
        <v>213</v>
      </c>
      <c r="E28" s="271" t="s">
        <v>213</v>
      </c>
      <c r="F28" s="271">
        <v>1</v>
      </c>
      <c r="G28" s="271" t="s">
        <v>213</v>
      </c>
      <c r="H28" s="271">
        <v>0.72729999999999995</v>
      </c>
      <c r="I28" s="271">
        <v>1</v>
      </c>
    </row>
    <row r="29" spans="2:10" ht="41.25" customHeight="1" x14ac:dyDescent="0.2">
      <c r="B29" s="1084" t="s">
        <v>244</v>
      </c>
      <c r="C29" s="1084"/>
      <c r="D29" s="271" t="s">
        <v>213</v>
      </c>
      <c r="E29" s="271" t="s">
        <v>213</v>
      </c>
      <c r="F29" s="271" t="s">
        <v>213</v>
      </c>
      <c r="G29" s="271" t="s">
        <v>213</v>
      </c>
      <c r="H29" s="271">
        <v>0.5</v>
      </c>
      <c r="I29" s="271">
        <v>0.8</v>
      </c>
    </row>
    <row r="30" spans="2:10" ht="41.25" customHeight="1" x14ac:dyDescent="0.2">
      <c r="B30" s="1084" t="s">
        <v>253</v>
      </c>
      <c r="C30" s="1084"/>
      <c r="D30" s="271" t="s">
        <v>213</v>
      </c>
      <c r="E30" s="271" t="s">
        <v>213</v>
      </c>
      <c r="F30" s="271" t="s">
        <v>213</v>
      </c>
      <c r="G30" s="271" t="s">
        <v>213</v>
      </c>
      <c r="H30" s="271">
        <v>0.77780000000000005</v>
      </c>
      <c r="I30" s="271" t="s">
        <v>213</v>
      </c>
    </row>
    <row r="31" spans="2:10" ht="41.25" customHeight="1" x14ac:dyDescent="0.2">
      <c r="B31" s="1084" t="s">
        <v>245</v>
      </c>
      <c r="C31" s="1084"/>
      <c r="D31" s="271" t="s">
        <v>213</v>
      </c>
      <c r="E31" s="271" t="s">
        <v>213</v>
      </c>
      <c r="F31" s="271" t="s">
        <v>213</v>
      </c>
      <c r="G31" s="271" t="s">
        <v>213</v>
      </c>
      <c r="H31" s="271" t="s">
        <v>213</v>
      </c>
      <c r="I31" s="271" t="s">
        <v>213</v>
      </c>
    </row>
    <row r="32" spans="2:10" ht="41.25" customHeight="1" x14ac:dyDescent="0.2">
      <c r="B32" s="1084" t="s">
        <v>254</v>
      </c>
      <c r="C32" s="1084"/>
      <c r="D32" s="271" t="s">
        <v>213</v>
      </c>
      <c r="E32" s="271" t="s">
        <v>213</v>
      </c>
      <c r="F32" s="271" t="s">
        <v>213</v>
      </c>
      <c r="G32" s="271">
        <v>0.33329999999999999</v>
      </c>
      <c r="H32" s="271">
        <v>0.69230000000000003</v>
      </c>
      <c r="I32" s="271" t="s">
        <v>213</v>
      </c>
    </row>
    <row r="33" spans="2:11" ht="22.5" customHeight="1" x14ac:dyDescent="0.2">
      <c r="B33" s="1081" t="s">
        <v>440</v>
      </c>
      <c r="C33" s="409">
        <v>0.65</v>
      </c>
      <c r="D33" s="407">
        <f t="shared" ref="D33:I33" si="0">COUNTIF(D15:D25,"&gt;="&amp;D35)</f>
        <v>2</v>
      </c>
      <c r="E33" s="407">
        <f t="shared" si="0"/>
        <v>4</v>
      </c>
      <c r="F33" s="407">
        <f t="shared" si="0"/>
        <v>5</v>
      </c>
      <c r="G33" s="407">
        <f t="shared" si="0"/>
        <v>5</v>
      </c>
      <c r="H33" s="407">
        <f t="shared" si="0"/>
        <v>9</v>
      </c>
      <c r="I33" s="407">
        <f t="shared" si="0"/>
        <v>7</v>
      </c>
    </row>
    <row r="34" spans="2:11" ht="22.5" customHeight="1" x14ac:dyDescent="0.2">
      <c r="B34" s="1081"/>
      <c r="C34" s="404" t="s">
        <v>239</v>
      </c>
      <c r="D34" s="408">
        <f t="shared" ref="D34:I34" si="1">COUNT(D15:D25)</f>
        <v>7</v>
      </c>
      <c r="E34" s="408">
        <f t="shared" si="1"/>
        <v>6</v>
      </c>
      <c r="F34" s="408">
        <f t="shared" si="1"/>
        <v>7</v>
      </c>
      <c r="G34" s="408">
        <f t="shared" si="1"/>
        <v>8</v>
      </c>
      <c r="H34" s="408">
        <f t="shared" si="1"/>
        <v>11</v>
      </c>
      <c r="I34" s="408">
        <f t="shared" si="1"/>
        <v>10</v>
      </c>
    </row>
    <row r="35" spans="2:11" ht="22.5" customHeight="1" x14ac:dyDescent="0.2">
      <c r="B35" s="1081"/>
      <c r="C35" s="410" t="s">
        <v>207</v>
      </c>
      <c r="D35" s="403">
        <v>0.65</v>
      </c>
      <c r="E35" s="403">
        <v>0.65</v>
      </c>
      <c r="F35" s="403">
        <v>0.65</v>
      </c>
      <c r="G35" s="403">
        <v>0.65</v>
      </c>
      <c r="H35" s="403">
        <v>0.65</v>
      </c>
      <c r="I35" s="403">
        <v>0.65</v>
      </c>
    </row>
    <row r="36" spans="2:11" ht="22.5" customHeight="1" x14ac:dyDescent="0.2">
      <c r="B36" s="1085" t="s">
        <v>441</v>
      </c>
      <c r="C36" s="411">
        <v>0.85</v>
      </c>
      <c r="D36" s="406">
        <f t="shared" ref="D36:I36" si="2">COUNTIF(D26:D32,"&gt;="&amp;D38)</f>
        <v>0</v>
      </c>
      <c r="E36" s="406">
        <f t="shared" si="2"/>
        <v>0</v>
      </c>
      <c r="F36" s="406">
        <f t="shared" si="2"/>
        <v>1</v>
      </c>
      <c r="G36" s="406">
        <f t="shared" si="2"/>
        <v>0</v>
      </c>
      <c r="H36" s="406">
        <f t="shared" si="2"/>
        <v>0</v>
      </c>
      <c r="I36" s="406">
        <f t="shared" si="2"/>
        <v>1</v>
      </c>
      <c r="K36" s="230" t="s">
        <v>470</v>
      </c>
    </row>
    <row r="37" spans="2:11" ht="22.5" customHeight="1" x14ac:dyDescent="0.2">
      <c r="B37" s="1085"/>
      <c r="C37" s="405" t="s">
        <v>239</v>
      </c>
      <c r="D37" s="406">
        <f t="shared" ref="D37:I37" si="3">COUNT(D26:D32)</f>
        <v>0</v>
      </c>
      <c r="E37" s="406">
        <f t="shared" si="3"/>
        <v>0</v>
      </c>
      <c r="F37" s="406">
        <f t="shared" si="3"/>
        <v>2</v>
      </c>
      <c r="G37" s="406">
        <f t="shared" si="3"/>
        <v>1</v>
      </c>
      <c r="H37" s="406">
        <f t="shared" si="3"/>
        <v>6</v>
      </c>
      <c r="I37" s="406">
        <f t="shared" si="3"/>
        <v>3</v>
      </c>
      <c r="K37" s="667" t="s">
        <v>443</v>
      </c>
    </row>
    <row r="38" spans="2:11" ht="22.5" customHeight="1" x14ac:dyDescent="0.2">
      <c r="B38" s="1085"/>
      <c r="C38" s="405" t="s">
        <v>207</v>
      </c>
      <c r="D38" s="400">
        <v>0.85</v>
      </c>
      <c r="E38" s="400">
        <v>0.85</v>
      </c>
      <c r="F38" s="400">
        <v>0.85</v>
      </c>
      <c r="G38" s="400">
        <v>0.85</v>
      </c>
      <c r="H38" s="400">
        <v>0.85</v>
      </c>
      <c r="I38" s="400">
        <v>0.85</v>
      </c>
      <c r="K38" s="667"/>
    </row>
    <row r="39" spans="2:11" ht="22.5" customHeight="1" x14ac:dyDescent="0.2">
      <c r="B39" s="1082" t="s">
        <v>442</v>
      </c>
      <c r="C39" s="1082"/>
      <c r="D39" s="401">
        <v>0</v>
      </c>
      <c r="E39" s="401">
        <v>0</v>
      </c>
      <c r="F39" s="401">
        <f>F36/F37</f>
        <v>0.5</v>
      </c>
      <c r="G39" s="402">
        <f>G36/G37</f>
        <v>0</v>
      </c>
      <c r="H39" s="402">
        <f>H36/H37</f>
        <v>0</v>
      </c>
      <c r="I39" s="402">
        <f>I36/I37</f>
        <v>0.33333333333333331</v>
      </c>
      <c r="K39" s="667"/>
    </row>
    <row r="40" spans="2:11" ht="22.5" customHeight="1" x14ac:dyDescent="0.2">
      <c r="B40" s="1082" t="s">
        <v>444</v>
      </c>
      <c r="C40" s="1083"/>
      <c r="D40" s="43">
        <f t="shared" ref="D40:I40" si="4">D33/D34</f>
        <v>0.2857142857142857</v>
      </c>
      <c r="E40" s="43">
        <f t="shared" si="4"/>
        <v>0.66666666666666663</v>
      </c>
      <c r="F40" s="43">
        <f t="shared" si="4"/>
        <v>0.7142857142857143</v>
      </c>
      <c r="G40" s="43">
        <f t="shared" si="4"/>
        <v>0.625</v>
      </c>
      <c r="H40" s="43">
        <f t="shared" si="4"/>
        <v>0.81818181818181823</v>
      </c>
      <c r="I40" s="43">
        <f t="shared" si="4"/>
        <v>0.7</v>
      </c>
      <c r="K40" s="667"/>
    </row>
    <row r="41" spans="2:11" ht="22.5" customHeight="1" x14ac:dyDescent="0.25">
      <c r="B41" s="7"/>
      <c r="C41" s="7"/>
      <c r="D41" s="6"/>
      <c r="E41" s="6"/>
      <c r="F41" s="6"/>
      <c r="G41" s="6"/>
      <c r="H41" s="6"/>
      <c r="I41" s="6"/>
      <c r="K41" s="667"/>
    </row>
    <row r="42" spans="2:11" ht="22.5" customHeight="1" x14ac:dyDescent="0.2">
      <c r="B42" s="567" t="s">
        <v>469</v>
      </c>
      <c r="C42" s="568"/>
      <c r="D42" s="568"/>
      <c r="E42" s="569"/>
      <c r="F42" s="8"/>
      <c r="K42" s="667"/>
    </row>
    <row r="43" spans="2:11" ht="22.5" customHeight="1" x14ac:dyDescent="0.2">
      <c r="B43" s="8"/>
      <c r="C43" s="8"/>
      <c r="D43" s="8"/>
      <c r="E43" s="8"/>
      <c r="F43" s="8"/>
      <c r="K43" s="667"/>
    </row>
    <row r="44" spans="2:11" ht="6" customHeight="1" x14ac:dyDescent="0.2">
      <c r="B44" s="8"/>
      <c r="C44" s="8"/>
      <c r="D44" s="8"/>
      <c r="E44" s="8"/>
      <c r="F44" s="8"/>
      <c r="K44" s="667"/>
    </row>
    <row r="54" spans="8:10" ht="19.5" customHeight="1" x14ac:dyDescent="0.2">
      <c r="H54" s="559" t="s">
        <v>155</v>
      </c>
      <c r="I54" s="560"/>
      <c r="J54" s="560"/>
    </row>
  </sheetData>
  <sheetProtection formatCells="0" formatColumns="0" formatRows="0" insertColumns="0" insertRows="0" insertHyperlinks="0" deleteColumns="0" deleteRows="0" pivotTables="0"/>
  <mergeCells count="53">
    <mergeCell ref="F7:G7"/>
    <mergeCell ref="B6:C6"/>
    <mergeCell ref="D6:E6"/>
    <mergeCell ref="F6:G6"/>
    <mergeCell ref="B2:D2"/>
    <mergeCell ref="E2:J2"/>
    <mergeCell ref="B4:C4"/>
    <mergeCell ref="D4:E4"/>
    <mergeCell ref="F4:G4"/>
    <mergeCell ref="H4:J4"/>
    <mergeCell ref="B5:C5"/>
    <mergeCell ref="H6:J6"/>
    <mergeCell ref="H7:J7"/>
    <mergeCell ref="D5:E5"/>
    <mergeCell ref="F5:G5"/>
    <mergeCell ref="H5:J5"/>
    <mergeCell ref="B18:C18"/>
    <mergeCell ref="B14:C14"/>
    <mergeCell ref="B32:C32"/>
    <mergeCell ref="B36:B38"/>
    <mergeCell ref="B39:C39"/>
    <mergeCell ref="B20:C20"/>
    <mergeCell ref="B21:C21"/>
    <mergeCell ref="B23:C23"/>
    <mergeCell ref="B24:C24"/>
    <mergeCell ref="B25:C25"/>
    <mergeCell ref="B31:C31"/>
    <mergeCell ref="B22:C22"/>
    <mergeCell ref="B26:C26"/>
    <mergeCell ref="B27:C27"/>
    <mergeCell ref="B28:C28"/>
    <mergeCell ref="B29:C29"/>
    <mergeCell ref="B9:C9"/>
    <mergeCell ref="B11:J11"/>
    <mergeCell ref="B15:C15"/>
    <mergeCell ref="B16:C16"/>
    <mergeCell ref="B17:C17"/>
    <mergeCell ref="B7:C7"/>
    <mergeCell ref="D7:E7"/>
    <mergeCell ref="K37:K44"/>
    <mergeCell ref="B33:B35"/>
    <mergeCell ref="H54:J54"/>
    <mergeCell ref="B40:C40"/>
    <mergeCell ref="B42:E42"/>
    <mergeCell ref="B30:C30"/>
    <mergeCell ref="B8:C8"/>
    <mergeCell ref="D8:E8"/>
    <mergeCell ref="F8:G8"/>
    <mergeCell ref="H8:J8"/>
    <mergeCell ref="D9:E9"/>
    <mergeCell ref="F9:G9"/>
    <mergeCell ref="H9:J9"/>
    <mergeCell ref="B19:C19"/>
  </mergeCells>
  <conditionalFormatting sqref="D15:I25 D33:I33 D40:I40">
    <cfRule type="cellIs" dxfId="5" priority="2" operator="lessThan">
      <formula>0.65</formula>
    </cfRule>
  </conditionalFormatting>
  <conditionalFormatting sqref="D26:I32 D38:I39">
    <cfRule type="cellIs" dxfId="4" priority="1" operator="lessThan">
      <formula>0.85</formula>
    </cfRule>
  </conditionalFormatting>
  <pageMargins left="0.7" right="0.7" top="0.75" bottom="0.75" header="0" footer="0"/>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B8A62-79E9-4702-8801-82DCCC6891CF}">
  <sheetPr>
    <tabColor theme="9" tint="-0.499984740745262"/>
    <pageSetUpPr fitToPage="1"/>
  </sheetPr>
  <dimension ref="B2:K30"/>
  <sheetViews>
    <sheetView showGridLines="0" workbookViewId="0">
      <selection activeCell="H4" sqref="H4:J4"/>
    </sheetView>
  </sheetViews>
  <sheetFormatPr defaultColWidth="12.5703125" defaultRowHeight="15.75" customHeight="1" x14ac:dyDescent="0.2"/>
  <cols>
    <col min="1" max="1" width="3.42578125" customWidth="1"/>
    <col min="2" max="2" width="14.140625" customWidth="1"/>
    <col min="3" max="3" width="21.5703125" customWidth="1"/>
    <col min="4" max="4" width="17.28515625" bestFit="1" customWidth="1"/>
    <col min="5" max="9" width="12.5703125" customWidth="1"/>
    <col min="10" max="10" width="36.28515625" customWidth="1"/>
    <col min="11" max="11" width="25.28515625" customWidth="1"/>
    <col min="12" max="21" width="7.5703125" customWidth="1"/>
  </cols>
  <sheetData>
    <row r="2" spans="2:11" ht="55.5" customHeight="1" x14ac:dyDescent="0.2">
      <c r="B2" s="714"/>
      <c r="C2" s="715"/>
      <c r="D2" s="716"/>
      <c r="E2" s="717" t="s">
        <v>192</v>
      </c>
      <c r="F2" s="715"/>
      <c r="G2" s="715"/>
      <c r="H2" s="715"/>
      <c r="I2" s="715"/>
      <c r="J2" s="716"/>
      <c r="K2" s="3"/>
    </row>
    <row r="3" spans="2:11" ht="22.5" customHeight="1" x14ac:dyDescent="0.2">
      <c r="B3" s="41"/>
      <c r="C3" s="41"/>
      <c r="D3" s="42"/>
      <c r="E3" s="42"/>
      <c r="F3" s="42"/>
      <c r="G3" s="42"/>
      <c r="H3" s="42"/>
      <c r="I3" s="42"/>
    </row>
    <row r="4" spans="2:11" ht="42" customHeight="1" x14ac:dyDescent="0.2">
      <c r="B4" s="917" t="s">
        <v>193</v>
      </c>
      <c r="C4" s="789"/>
      <c r="D4" s="786" t="str">
        <f>Índex!B76</f>
        <v xml:space="preserve"> PS5.05_Ind01. </v>
      </c>
      <c r="E4" s="787"/>
      <c r="F4" s="917" t="s">
        <v>194</v>
      </c>
      <c r="G4" s="789"/>
      <c r="H4" s="786" t="str">
        <f>Índex!C76</f>
        <v>Taxa d’eficàcia: percentatge de suggeriments i queixes respostes (15 dies hàbils)</v>
      </c>
      <c r="I4" s="787"/>
      <c r="J4" s="787"/>
    </row>
    <row r="5" spans="2:11" ht="22.5" customHeight="1" x14ac:dyDescent="0.2">
      <c r="B5" s="917" t="s">
        <v>285</v>
      </c>
      <c r="C5" s="789"/>
      <c r="D5" s="918">
        <f>Índex!F76</f>
        <v>1</v>
      </c>
      <c r="E5" s="787"/>
      <c r="F5" s="919" t="s">
        <v>196</v>
      </c>
      <c r="G5" s="789"/>
      <c r="H5" s="871" t="s">
        <v>433</v>
      </c>
      <c r="I5" s="787"/>
      <c r="J5" s="787"/>
    </row>
    <row r="6" spans="2:11" ht="22.5" customHeight="1" x14ac:dyDescent="0.2">
      <c r="B6" s="917" t="s">
        <v>471</v>
      </c>
      <c r="C6" s="917"/>
      <c r="D6" s="918" t="str">
        <f>Índex!H76</f>
        <v>Objectiu de Qualitat. Organització i gestió de recursos</v>
      </c>
      <c r="E6" s="787"/>
      <c r="F6" s="919" t="s">
        <v>462</v>
      </c>
      <c r="G6" s="919"/>
      <c r="H6" s="871"/>
      <c r="I6" s="871"/>
      <c r="J6" s="871"/>
    </row>
    <row r="7" spans="2:11" ht="22.5" customHeight="1" x14ac:dyDescent="0.2">
      <c r="B7" s="917" t="s">
        <v>463</v>
      </c>
      <c r="C7" s="917"/>
      <c r="D7" s="918"/>
      <c r="E7" s="918"/>
      <c r="F7" s="919" t="s">
        <v>464</v>
      </c>
      <c r="G7" s="919"/>
      <c r="H7" s="871" t="s">
        <v>198</v>
      </c>
      <c r="I7" s="871"/>
      <c r="J7" s="871"/>
    </row>
    <row r="8" spans="2:11" ht="24.75" customHeight="1" x14ac:dyDescent="0.2">
      <c r="B8" s="917" t="s">
        <v>650</v>
      </c>
      <c r="C8" s="917"/>
      <c r="D8" s="1089" t="str">
        <f>Índex!D76</f>
        <v>Vicedegà d'Economia i d’Afers Acadèmics de Postgrau</v>
      </c>
      <c r="E8" s="1088"/>
      <c r="F8" s="919" t="s">
        <v>651</v>
      </c>
      <c r="G8" s="919"/>
      <c r="H8" s="787" t="str">
        <f>Índex!E76</f>
        <v>Administradora de Centre</v>
      </c>
      <c r="I8" s="787"/>
      <c r="J8" s="787"/>
    </row>
    <row r="9" spans="2:11" ht="54.75" customHeight="1" x14ac:dyDescent="0.2">
      <c r="B9" s="917" t="s">
        <v>424</v>
      </c>
      <c r="C9" s="789"/>
      <c r="D9" s="786" t="str">
        <f>Índex!G76</f>
        <v>PS5.04. Satisfacció dels Grups d’Interès</v>
      </c>
      <c r="E9" s="787"/>
      <c r="F9" s="917" t="s">
        <v>643</v>
      </c>
      <c r="G9" s="789"/>
      <c r="H9" s="1004" t="s">
        <v>640</v>
      </c>
      <c r="I9" s="1087"/>
      <c r="J9" s="1088"/>
    </row>
    <row r="10" spans="2:11" ht="7.5" customHeight="1" x14ac:dyDescent="0.2"/>
    <row r="11" spans="2:11" ht="22.5" customHeight="1" x14ac:dyDescent="0.2">
      <c r="B11" s="567" t="s">
        <v>468</v>
      </c>
      <c r="C11" s="568"/>
      <c r="D11" s="568"/>
      <c r="E11" s="568"/>
      <c r="F11" s="568"/>
      <c r="G11" s="568"/>
      <c r="H11" s="568"/>
      <c r="I11" s="568"/>
      <c r="J11" s="569"/>
    </row>
    <row r="12" spans="2:11" ht="22.5" customHeight="1" x14ac:dyDescent="0.2">
      <c r="B12" s="17" t="s">
        <v>155</v>
      </c>
      <c r="C12" s="12"/>
      <c r="D12" s="12"/>
      <c r="E12" s="12"/>
      <c r="F12" s="12"/>
      <c r="G12" s="12"/>
      <c r="H12" s="12"/>
      <c r="I12" s="12"/>
      <c r="J12" s="12"/>
    </row>
    <row r="13" spans="2:11" ht="22.5" customHeight="1" x14ac:dyDescent="0.2">
      <c r="D13" s="84" t="s">
        <v>200</v>
      </c>
      <c r="E13" s="84" t="s">
        <v>201</v>
      </c>
      <c r="F13" s="84" t="s">
        <v>202</v>
      </c>
      <c r="G13" s="84" t="s">
        <v>203</v>
      </c>
      <c r="H13" s="84" t="s">
        <v>204</v>
      </c>
      <c r="I13" s="84" t="s">
        <v>205</v>
      </c>
      <c r="J13" s="84" t="s">
        <v>256</v>
      </c>
    </row>
    <row r="14" spans="2:11" ht="22.5" customHeight="1" x14ac:dyDescent="0.2">
      <c r="C14" s="97"/>
      <c r="D14" s="57">
        <v>1</v>
      </c>
      <c r="E14" s="57">
        <v>0.8</v>
      </c>
      <c r="F14" s="57">
        <v>0.82</v>
      </c>
      <c r="G14" s="57">
        <v>1</v>
      </c>
      <c r="H14" s="57">
        <v>1</v>
      </c>
      <c r="I14" s="57">
        <v>1</v>
      </c>
      <c r="J14" s="268">
        <v>0.97</v>
      </c>
    </row>
    <row r="15" spans="2:11" ht="22.5" customHeight="1" x14ac:dyDescent="0.2">
      <c r="B15" s="27" t="s">
        <v>155</v>
      </c>
      <c r="C15" s="93" t="s">
        <v>208</v>
      </c>
      <c r="D15" s="47">
        <f>COUNTIF(D14,"=100%")</f>
        <v>1</v>
      </c>
      <c r="E15" s="47">
        <v>0.8</v>
      </c>
      <c r="F15" s="47">
        <v>0.8</v>
      </c>
      <c r="G15" s="47">
        <f>COUNTIF(G14,"=100%")</f>
        <v>1</v>
      </c>
      <c r="H15" s="47">
        <v>1</v>
      </c>
      <c r="I15" s="47">
        <v>1</v>
      </c>
      <c r="J15" s="536">
        <v>0.97</v>
      </c>
    </row>
    <row r="16" spans="2:11" ht="22.5" customHeight="1" x14ac:dyDescent="0.2">
      <c r="B16" s="58"/>
      <c r="C16" s="145" t="s">
        <v>207</v>
      </c>
      <c r="D16" s="49">
        <v>1</v>
      </c>
      <c r="E16" s="49">
        <v>1</v>
      </c>
      <c r="F16" s="49">
        <v>1</v>
      </c>
      <c r="G16" s="49">
        <v>1</v>
      </c>
      <c r="H16" s="49">
        <v>1</v>
      </c>
      <c r="I16" s="49">
        <v>1</v>
      </c>
      <c r="J16" s="268">
        <v>1</v>
      </c>
    </row>
    <row r="17" spans="2:11" ht="22.5" customHeight="1" x14ac:dyDescent="0.2">
      <c r="B17" s="58"/>
      <c r="C17" s="59"/>
      <c r="D17" s="58"/>
      <c r="E17" s="58"/>
      <c r="F17" s="58"/>
      <c r="G17" s="12"/>
      <c r="K17" s="62" t="s">
        <v>470</v>
      </c>
    </row>
    <row r="18" spans="2:11" ht="22.5" customHeight="1" x14ac:dyDescent="0.2">
      <c r="B18" s="567" t="s">
        <v>469</v>
      </c>
      <c r="C18" s="568"/>
      <c r="D18" s="568"/>
      <c r="E18" s="569"/>
      <c r="F18" s="8"/>
      <c r="K18" s="9"/>
    </row>
    <row r="19" spans="2:11" ht="22.5" customHeight="1" x14ac:dyDescent="0.2">
      <c r="B19" s="8"/>
      <c r="C19" s="8"/>
      <c r="D19" s="8"/>
      <c r="E19" s="8"/>
      <c r="F19" s="8"/>
      <c r="K19" s="110" t="s">
        <v>155</v>
      </c>
    </row>
    <row r="20" spans="2:11" ht="6" customHeight="1" x14ac:dyDescent="0.2">
      <c r="B20" s="8"/>
      <c r="C20" s="8"/>
      <c r="D20" s="8"/>
      <c r="E20" s="8"/>
      <c r="F20" s="8"/>
      <c r="K20" s="108"/>
    </row>
    <row r="21" spans="2:11" ht="19.5" customHeight="1" x14ac:dyDescent="0.2">
      <c r="B21" s="8"/>
      <c r="C21" s="8"/>
      <c r="D21" s="8"/>
      <c r="E21" s="8"/>
      <c r="F21" s="8"/>
      <c r="K21" s="108"/>
    </row>
    <row r="22" spans="2:11" ht="19.5" customHeight="1" x14ac:dyDescent="0.2">
      <c r="B22" s="8"/>
      <c r="C22" s="8"/>
      <c r="D22" s="8"/>
      <c r="E22" s="8"/>
      <c r="F22" s="8"/>
      <c r="K22" s="108"/>
    </row>
    <row r="23" spans="2:11" ht="19.5" customHeight="1" x14ac:dyDescent="0.2">
      <c r="B23" s="8"/>
      <c r="C23" s="8"/>
      <c r="D23" s="8"/>
      <c r="E23" s="8"/>
      <c r="F23" s="8"/>
      <c r="K23" s="108"/>
    </row>
    <row r="24" spans="2:11" ht="19.5" customHeight="1" x14ac:dyDescent="0.2">
      <c r="B24" s="8"/>
      <c r="C24" s="8"/>
      <c r="D24" s="8"/>
      <c r="E24" s="8"/>
      <c r="F24" s="8"/>
      <c r="K24" s="108"/>
    </row>
    <row r="25" spans="2:11" ht="19.5" customHeight="1" x14ac:dyDescent="0.2">
      <c r="B25" s="8"/>
      <c r="C25" s="8"/>
      <c r="D25" s="8"/>
      <c r="E25" s="8"/>
      <c r="F25" s="8"/>
      <c r="K25" s="108"/>
    </row>
    <row r="26" spans="2:11" ht="19.5" customHeight="1" x14ac:dyDescent="0.2">
      <c r="B26" s="8"/>
      <c r="C26" s="8"/>
      <c r="D26" s="8"/>
      <c r="E26" s="8"/>
      <c r="F26" s="8"/>
      <c r="K26" s="108"/>
    </row>
    <row r="27" spans="2:11" ht="19.5" customHeight="1" x14ac:dyDescent="0.2">
      <c r="B27" s="8"/>
      <c r="C27" s="8"/>
      <c r="D27" s="8"/>
      <c r="E27" s="8"/>
      <c r="F27" s="8"/>
      <c r="K27" s="109"/>
    </row>
    <row r="28" spans="2:11" ht="19.5" customHeight="1" x14ac:dyDescent="0.2">
      <c r="B28" s="8"/>
      <c r="C28" s="8"/>
      <c r="D28" s="8"/>
      <c r="E28" s="8"/>
      <c r="F28" s="8"/>
    </row>
    <row r="29" spans="2:11" ht="19.5" customHeight="1" x14ac:dyDescent="0.2"/>
    <row r="30" spans="2:11" ht="19.5" customHeight="1" x14ac:dyDescent="0.2">
      <c r="H30" s="559" t="s">
        <v>155</v>
      </c>
      <c r="I30" s="560"/>
      <c r="J30" s="560"/>
    </row>
  </sheetData>
  <sheetProtection formatCells="0" formatColumns="0" formatRows="0" insertColumns="0" insertRows="0" insertHyperlinks="0" deleteColumns="0" deleteRows="0" pivotTables="0"/>
  <mergeCells count="29">
    <mergeCell ref="B2:D2"/>
    <mergeCell ref="E2:J2"/>
    <mergeCell ref="B4:C4"/>
    <mergeCell ref="D4:E4"/>
    <mergeCell ref="F4:G4"/>
    <mergeCell ref="H4:J4"/>
    <mergeCell ref="B11:J11"/>
    <mergeCell ref="B18:E18"/>
    <mergeCell ref="H30:J30"/>
    <mergeCell ref="B9:C9"/>
    <mergeCell ref="B5:C5"/>
    <mergeCell ref="D5:E5"/>
    <mergeCell ref="F5:G5"/>
    <mergeCell ref="H5:J5"/>
    <mergeCell ref="D9:E9"/>
    <mergeCell ref="F9:G9"/>
    <mergeCell ref="F8:G8"/>
    <mergeCell ref="D6:E6"/>
    <mergeCell ref="H7:J7"/>
    <mergeCell ref="H6:J6"/>
    <mergeCell ref="F7:G7"/>
    <mergeCell ref="F6:G6"/>
    <mergeCell ref="B7:C7"/>
    <mergeCell ref="B6:C6"/>
    <mergeCell ref="B8:C8"/>
    <mergeCell ref="H8:J8"/>
    <mergeCell ref="H9:J9"/>
    <mergeCell ref="D8:E8"/>
    <mergeCell ref="D7:E7"/>
  </mergeCells>
  <conditionalFormatting sqref="D15:J15">
    <cfRule type="cellIs" dxfId="3" priority="1" operator="between">
      <formula>0</formula>
      <formula>0.899</formula>
    </cfRule>
  </conditionalFormatting>
  <pageMargins left="0.7" right="0.7" top="0.75" bottom="0.75" header="0" footer="0"/>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3C395-B8A4-49BC-A115-157806311B0C}">
  <sheetPr>
    <tabColor theme="9" tint="-0.499984740745262"/>
  </sheetPr>
  <dimension ref="A2:N30"/>
  <sheetViews>
    <sheetView topLeftCell="A3" workbookViewId="0">
      <selection activeCell="G4" sqref="G4:I4"/>
    </sheetView>
  </sheetViews>
  <sheetFormatPr defaultColWidth="9.140625" defaultRowHeight="12.75" x14ac:dyDescent="0.2"/>
  <cols>
    <col min="1" max="1" width="2" bestFit="1" customWidth="1"/>
    <col min="2" max="2" width="41" customWidth="1"/>
    <col min="3" max="3" width="15.7109375" customWidth="1"/>
    <col min="4" max="4" width="11.28515625" customWidth="1"/>
    <col min="5" max="5" width="10.5703125" customWidth="1"/>
    <col min="6" max="6" width="16.7109375" customWidth="1"/>
    <col min="7" max="7" width="11.42578125" customWidth="1"/>
    <col min="8" max="8" width="11.28515625" customWidth="1"/>
    <col min="9" max="9" width="33.85546875" customWidth="1"/>
  </cols>
  <sheetData>
    <row r="2" spans="1:9" ht="57.75" customHeight="1" x14ac:dyDescent="0.2">
      <c r="A2" s="714"/>
      <c r="B2" s="715"/>
      <c r="C2" s="716"/>
      <c r="D2" s="717" t="s">
        <v>192</v>
      </c>
      <c r="E2" s="715"/>
      <c r="F2" s="715"/>
      <c r="G2" s="715"/>
      <c r="H2" s="715"/>
      <c r="I2" s="716"/>
    </row>
    <row r="3" spans="1:9" ht="53.25" customHeight="1" x14ac:dyDescent="0.2">
      <c r="A3" s="41"/>
      <c r="B3" s="41"/>
      <c r="C3" s="42"/>
      <c r="D3" s="42"/>
      <c r="E3" s="42"/>
      <c r="F3" s="42"/>
      <c r="G3" s="42"/>
      <c r="H3" s="42"/>
    </row>
    <row r="4" spans="1:9" x14ac:dyDescent="0.2">
      <c r="A4" s="788" t="s">
        <v>193</v>
      </c>
      <c r="B4" s="789"/>
      <c r="C4" s="786" t="str">
        <f>Índex!B77</f>
        <v xml:space="preserve"> PS5.05_Ind02. </v>
      </c>
      <c r="D4" s="787"/>
      <c r="E4" s="788" t="s">
        <v>194</v>
      </c>
      <c r="F4" s="789"/>
      <c r="G4" s="786" t="str">
        <f>Índex!C77</f>
        <v>Temps mitjà de resposta igual o inferior a 7,5 dies hàbils de les queixes i els suggeriments (termini màxim: 15 dies hàbils (PS4.02_Ind04)</v>
      </c>
      <c r="H4" s="787"/>
      <c r="I4" s="787"/>
    </row>
    <row r="5" spans="1:9" x14ac:dyDescent="0.2">
      <c r="A5" s="788" t="s">
        <v>285</v>
      </c>
      <c r="B5" s="789"/>
      <c r="C5" s="918" t="str">
        <f>Índex!F77</f>
        <v>15 dies hàbils</v>
      </c>
      <c r="D5" s="787"/>
      <c r="E5" s="905" t="s">
        <v>196</v>
      </c>
      <c r="F5" s="789"/>
      <c r="G5" s="871" t="s">
        <v>433</v>
      </c>
      <c r="H5" s="787"/>
      <c r="I5" s="787"/>
    </row>
    <row r="6" spans="1:9" ht="25.5" customHeight="1" x14ac:dyDescent="0.2">
      <c r="A6" s="1091" t="s">
        <v>636</v>
      </c>
      <c r="B6" s="1091"/>
      <c r="C6" s="918" t="str">
        <f>Índex!H77</f>
        <v>Objectiu de Qualitat. Organització i gestió de recursos</v>
      </c>
      <c r="D6" s="787"/>
      <c r="E6" s="905" t="s">
        <v>634</v>
      </c>
      <c r="F6" s="905"/>
      <c r="G6" s="1092"/>
      <c r="H6" s="1092"/>
      <c r="I6" s="1092"/>
    </row>
    <row r="7" spans="1:9" x14ac:dyDescent="0.2">
      <c r="A7" s="827" t="s">
        <v>463</v>
      </c>
      <c r="B7" s="827"/>
      <c r="C7" s="1090"/>
      <c r="D7" s="1090"/>
      <c r="E7" s="1093" t="s">
        <v>464</v>
      </c>
      <c r="F7" s="1093"/>
      <c r="G7" s="1092" t="s">
        <v>198</v>
      </c>
      <c r="H7" s="1092"/>
      <c r="I7" s="1092"/>
    </row>
    <row r="8" spans="1:9" x14ac:dyDescent="0.2">
      <c r="A8" s="827" t="s">
        <v>465</v>
      </c>
      <c r="B8" s="827"/>
      <c r="C8" s="1090" t="str">
        <f>Índex!D77</f>
        <v>Vicedegà d'Economia i d’Afers Acadèmics de Postgrau</v>
      </c>
      <c r="D8" s="1090"/>
      <c r="E8" s="1093" t="s">
        <v>637</v>
      </c>
      <c r="F8" s="1093"/>
      <c r="G8" s="1092" t="str">
        <f>Índex!E77</f>
        <v>Administradora de Centre</v>
      </c>
      <c r="H8" s="1092"/>
      <c r="I8" s="1092"/>
    </row>
    <row r="9" spans="1:9" ht="40.5" customHeight="1" x14ac:dyDescent="0.2">
      <c r="A9" s="827" t="s">
        <v>461</v>
      </c>
      <c r="B9" s="827"/>
      <c r="C9" s="786" t="str">
        <f>Índex!G77</f>
        <v>PS5.04. Satisfacció dels Grups d’Interès</v>
      </c>
      <c r="D9" s="787"/>
      <c r="E9" s="1037" t="s">
        <v>467</v>
      </c>
      <c r="F9" s="1037"/>
      <c r="G9" s="1094" t="s">
        <v>640</v>
      </c>
      <c r="H9" s="879"/>
      <c r="I9" s="879"/>
    </row>
    <row r="11" spans="1:9" x14ac:dyDescent="0.2">
      <c r="A11" s="567" t="s">
        <v>468</v>
      </c>
      <c r="B11" s="568"/>
      <c r="C11" s="568"/>
      <c r="D11" s="568"/>
      <c r="E11" s="568"/>
      <c r="F11" s="568"/>
      <c r="G11" s="568"/>
      <c r="H11" s="568"/>
      <c r="I11" s="569"/>
    </row>
    <row r="12" spans="1:9" ht="13.5" thickBot="1" x14ac:dyDescent="0.25">
      <c r="A12" s="17" t="s">
        <v>155</v>
      </c>
      <c r="B12" s="12"/>
      <c r="C12" s="12"/>
      <c r="D12" s="12"/>
      <c r="E12" s="12"/>
      <c r="F12" s="12"/>
      <c r="G12" s="12"/>
      <c r="H12" s="12"/>
      <c r="I12" s="12"/>
    </row>
    <row r="13" spans="1:9" ht="14.25" thickBot="1" x14ac:dyDescent="0.25">
      <c r="C13" s="84" t="s">
        <v>200</v>
      </c>
      <c r="D13" s="84" t="s">
        <v>201</v>
      </c>
      <c r="E13" s="84" t="s">
        <v>202</v>
      </c>
      <c r="F13" s="84" t="s">
        <v>203</v>
      </c>
      <c r="G13" s="84" t="s">
        <v>204</v>
      </c>
      <c r="H13" s="84" t="s">
        <v>205</v>
      </c>
      <c r="I13" s="123" t="s">
        <v>256</v>
      </c>
    </row>
    <row r="14" spans="1:9" ht="15" thickBot="1" x14ac:dyDescent="0.25">
      <c r="B14" s="97" t="s">
        <v>445</v>
      </c>
      <c r="C14" s="39">
        <v>11.19</v>
      </c>
      <c r="D14" s="39">
        <v>8.0500000000000007</v>
      </c>
      <c r="E14" s="39">
        <v>3.94</v>
      </c>
      <c r="F14" s="39">
        <v>5.72</v>
      </c>
      <c r="G14" s="39">
        <v>1</v>
      </c>
      <c r="H14" s="39">
        <v>3.8</v>
      </c>
      <c r="I14" s="537">
        <v>9</v>
      </c>
    </row>
    <row r="15" spans="1:9" ht="14.25" thickBot="1" x14ac:dyDescent="0.25">
      <c r="A15" s="58"/>
      <c r="B15" s="145" t="s">
        <v>207</v>
      </c>
      <c r="C15" s="24">
        <v>15</v>
      </c>
      <c r="D15" s="24">
        <v>15</v>
      </c>
      <c r="E15" s="24">
        <v>15</v>
      </c>
      <c r="F15" s="24">
        <v>15</v>
      </c>
      <c r="G15" s="24">
        <v>15</v>
      </c>
      <c r="H15" s="24">
        <v>15</v>
      </c>
      <c r="I15" s="538">
        <v>15</v>
      </c>
    </row>
    <row r="16" spans="1:9" ht="13.5" x14ac:dyDescent="0.2">
      <c r="A16" s="58"/>
      <c r="B16" s="93" t="s">
        <v>208</v>
      </c>
      <c r="C16" s="47">
        <f t="shared" ref="C16:I16" si="0">COUNTIF(C14,"&lt;15")</f>
        <v>1</v>
      </c>
      <c r="D16" s="47">
        <f t="shared" si="0"/>
        <v>1</v>
      </c>
      <c r="E16" s="47">
        <f t="shared" si="0"/>
        <v>1</v>
      </c>
      <c r="F16" s="47">
        <f t="shared" si="0"/>
        <v>1</v>
      </c>
      <c r="G16" s="47">
        <f t="shared" si="0"/>
        <v>1</v>
      </c>
      <c r="H16" s="47">
        <f t="shared" si="0"/>
        <v>1</v>
      </c>
      <c r="I16" s="47">
        <f t="shared" si="0"/>
        <v>1</v>
      </c>
    </row>
    <row r="17" spans="1:14" ht="13.5" x14ac:dyDescent="0.2">
      <c r="A17" s="58"/>
      <c r="B17" s="59"/>
      <c r="C17" s="58"/>
      <c r="D17" s="58"/>
      <c r="E17" s="58"/>
      <c r="F17" s="12"/>
    </row>
    <row r="18" spans="1:14" ht="20.25" x14ac:dyDescent="0.2">
      <c r="A18" s="567" t="s">
        <v>469</v>
      </c>
      <c r="B18" s="568"/>
      <c r="C18" s="568"/>
      <c r="D18" s="569"/>
      <c r="E18" s="8"/>
    </row>
    <row r="19" spans="1:14" x14ac:dyDescent="0.2">
      <c r="K19" s="567" t="s">
        <v>470</v>
      </c>
      <c r="L19" s="568"/>
      <c r="M19" s="568"/>
      <c r="N19" s="569"/>
    </row>
    <row r="20" spans="1:14" ht="15" x14ac:dyDescent="0.2">
      <c r="K20" s="9"/>
      <c r="L20" s="9"/>
      <c r="M20" s="9"/>
      <c r="N20" s="9"/>
    </row>
    <row r="21" spans="1:14" x14ac:dyDescent="0.2">
      <c r="K21" s="709" t="s">
        <v>155</v>
      </c>
      <c r="L21" s="571"/>
      <c r="M21" s="571"/>
      <c r="N21" s="572"/>
    </row>
    <row r="22" spans="1:14" x14ac:dyDescent="0.2">
      <c r="K22" s="573"/>
      <c r="L22" s="574"/>
      <c r="M22" s="574"/>
      <c r="N22" s="575"/>
    </row>
    <row r="23" spans="1:14" x14ac:dyDescent="0.2">
      <c r="K23" s="573"/>
      <c r="L23" s="574"/>
      <c r="M23" s="574"/>
      <c r="N23" s="575"/>
    </row>
    <row r="24" spans="1:14" x14ac:dyDescent="0.2">
      <c r="K24" s="573"/>
      <c r="L24" s="574"/>
      <c r="M24" s="574"/>
      <c r="N24" s="575"/>
    </row>
    <row r="25" spans="1:14" x14ac:dyDescent="0.2">
      <c r="K25" s="573"/>
      <c r="L25" s="574"/>
      <c r="M25" s="574"/>
      <c r="N25" s="575"/>
    </row>
    <row r="26" spans="1:14" x14ac:dyDescent="0.2">
      <c r="K26" s="573"/>
      <c r="L26" s="574"/>
      <c r="M26" s="574"/>
      <c r="N26" s="575"/>
    </row>
    <row r="27" spans="1:14" x14ac:dyDescent="0.2">
      <c r="K27" s="573"/>
      <c r="L27" s="574"/>
      <c r="M27" s="574"/>
      <c r="N27" s="575"/>
    </row>
    <row r="28" spans="1:14" x14ac:dyDescent="0.2">
      <c r="K28" s="573"/>
      <c r="L28" s="574"/>
      <c r="M28" s="574"/>
      <c r="N28" s="575"/>
    </row>
    <row r="29" spans="1:14" x14ac:dyDescent="0.2">
      <c r="K29" s="576"/>
      <c r="L29" s="577"/>
      <c r="M29" s="577"/>
      <c r="N29" s="578"/>
    </row>
    <row r="30" spans="1:14" x14ac:dyDescent="0.2">
      <c r="G30" s="559" t="s">
        <v>155</v>
      </c>
      <c r="H30" s="560"/>
      <c r="I30" s="560"/>
    </row>
  </sheetData>
  <sheetProtection formatCells="0" formatColumns="0" formatRows="0" insertColumns="0" insertRows="0" insertHyperlinks="0" deleteColumns="0" deleteRows="0" pivotTables="0"/>
  <mergeCells count="31">
    <mergeCell ref="G30:I30"/>
    <mergeCell ref="A9:B9"/>
    <mergeCell ref="A11:I11"/>
    <mergeCell ref="A18:D18"/>
    <mergeCell ref="G9:I9"/>
    <mergeCell ref="K19:N19"/>
    <mergeCell ref="K21:N29"/>
    <mergeCell ref="A5:B5"/>
    <mergeCell ref="C5:D5"/>
    <mergeCell ref="E5:F5"/>
    <mergeCell ref="G5:I5"/>
    <mergeCell ref="C9:D9"/>
    <mergeCell ref="E9:F9"/>
    <mergeCell ref="E6:F6"/>
    <mergeCell ref="C6:D6"/>
    <mergeCell ref="G8:I8"/>
    <mergeCell ref="G7:I7"/>
    <mergeCell ref="G6:I6"/>
    <mergeCell ref="E8:F8"/>
    <mergeCell ref="E7:F7"/>
    <mergeCell ref="C8:D8"/>
    <mergeCell ref="C7:D7"/>
    <mergeCell ref="A8:B8"/>
    <mergeCell ref="A7:B7"/>
    <mergeCell ref="A6:B6"/>
    <mergeCell ref="A2:C2"/>
    <mergeCell ref="D2:I2"/>
    <mergeCell ref="A4:B4"/>
    <mergeCell ref="C4:D4"/>
    <mergeCell ref="E4:F4"/>
    <mergeCell ref="G4:I4"/>
  </mergeCells>
  <conditionalFormatting sqref="C16:I16">
    <cfRule type="cellIs" dxfId="2" priority="1" operator="between">
      <formula>0</formula>
      <formula>0.899</formula>
    </cfRule>
  </conditionalFormatting>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0117-9205-49D6-A13B-8724EA6E9FAA}">
  <sheetPr>
    <tabColor theme="9" tint="-0.499984740745262"/>
    <pageSetUpPr fitToPage="1"/>
  </sheetPr>
  <dimension ref="B2:N44"/>
  <sheetViews>
    <sheetView showGridLines="0" workbookViewId="0">
      <selection activeCell="Q8" sqref="Q8"/>
    </sheetView>
  </sheetViews>
  <sheetFormatPr defaultColWidth="12.5703125" defaultRowHeight="15.75" customHeight="1" x14ac:dyDescent="0.2"/>
  <cols>
    <col min="1" max="1" width="3.42578125" customWidth="1"/>
    <col min="2" max="2" width="14.140625" customWidth="1"/>
    <col min="3" max="3" width="17.28515625" customWidth="1"/>
    <col min="4" max="4" width="19.7109375" customWidth="1"/>
    <col min="5" max="9" width="12.5703125" customWidth="1"/>
    <col min="10" max="10" width="36.28515625" customWidth="1"/>
    <col min="11"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Índex!B78</f>
        <v xml:space="preserve"> PS5.05_Ind03. </v>
      </c>
      <c r="E4" s="716"/>
      <c r="F4" s="567" t="s">
        <v>194</v>
      </c>
      <c r="G4" s="569"/>
      <c r="H4" s="718" t="str">
        <f>Índex!C78</f>
        <v>Valoració mitjana a la pregunta “He rebut resposta adequada a les meves queixes i suggeriments</v>
      </c>
      <c r="I4" s="715"/>
      <c r="J4" s="716"/>
    </row>
    <row r="5" spans="2:10" ht="22.5" customHeight="1" x14ac:dyDescent="0.2">
      <c r="B5" s="567" t="s">
        <v>195</v>
      </c>
      <c r="C5" s="569"/>
      <c r="D5" s="718" t="str">
        <f>Índex!F78</f>
        <v>≥3</v>
      </c>
      <c r="E5" s="716"/>
      <c r="F5" s="567" t="s">
        <v>196</v>
      </c>
      <c r="G5" s="569"/>
      <c r="H5" s="718" t="s">
        <v>197</v>
      </c>
      <c r="I5" s="715"/>
      <c r="J5" s="716"/>
    </row>
    <row r="6" spans="2:10" ht="22.5" customHeight="1" x14ac:dyDescent="0.2">
      <c r="B6" s="567" t="s">
        <v>471</v>
      </c>
      <c r="C6" s="569"/>
      <c r="D6" s="718" t="str">
        <f>Índex!H78</f>
        <v>Objectiu de Qualitat. Grups d'interès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33" customHeight="1" x14ac:dyDescent="0.2">
      <c r="B8" s="567" t="s">
        <v>465</v>
      </c>
      <c r="C8" s="569"/>
      <c r="D8" s="718" t="str">
        <f>Índex!D78</f>
        <v>Vicedegà d'Economia i d’Afers Acadèmics de Postgrau</v>
      </c>
      <c r="E8" s="716"/>
      <c r="F8" s="567" t="s">
        <v>472</v>
      </c>
      <c r="G8" s="569"/>
      <c r="H8" s="718" t="str">
        <f>Índex!E78</f>
        <v>Gestora de Qualitat</v>
      </c>
      <c r="I8" s="715"/>
      <c r="J8" s="716"/>
    </row>
    <row r="9" spans="2:10" ht="42.75" customHeight="1" x14ac:dyDescent="0.2">
      <c r="B9" s="567" t="s">
        <v>461</v>
      </c>
      <c r="C9" s="569"/>
      <c r="D9" s="718" t="str">
        <f>Índex!G78</f>
        <v>PS5.04. Satisfacció dels Grups d’Interès</v>
      </c>
      <c r="E9" s="716"/>
      <c r="F9" s="567" t="s">
        <v>467</v>
      </c>
      <c r="G9" s="569"/>
      <c r="H9" s="718" t="s">
        <v>576</v>
      </c>
      <c r="I9" s="715"/>
      <c r="J9" s="716"/>
    </row>
    <row r="10" spans="2:10" ht="7.5" customHeight="1" x14ac:dyDescent="0.2"/>
    <row r="11" spans="2:10" ht="7.5" customHeight="1" x14ac:dyDescent="0.2"/>
    <row r="12" spans="2:10" ht="22.5" customHeight="1" x14ac:dyDescent="0.2"/>
    <row r="13" spans="2:10" ht="22.5" customHeight="1" x14ac:dyDescent="0.2">
      <c r="B13" s="567" t="s">
        <v>468</v>
      </c>
      <c r="C13" s="568"/>
      <c r="D13" s="568"/>
      <c r="E13" s="568"/>
      <c r="F13" s="568"/>
      <c r="G13" s="568"/>
      <c r="H13" s="568"/>
      <c r="I13" s="568"/>
      <c r="J13" s="569"/>
    </row>
    <row r="14" spans="2:10" ht="22.5" customHeight="1" x14ac:dyDescent="0.2"/>
    <row r="15" spans="2:10" ht="22.5" customHeight="1" x14ac:dyDescent="0.2">
      <c r="B15" s="965"/>
      <c r="C15" s="966"/>
      <c r="D15" s="89" t="s">
        <v>200</v>
      </c>
      <c r="E15" s="89" t="s">
        <v>201</v>
      </c>
      <c r="F15" s="89" t="s">
        <v>202</v>
      </c>
      <c r="G15" s="89" t="s">
        <v>203</v>
      </c>
      <c r="H15" s="89" t="s">
        <v>204</v>
      </c>
      <c r="I15" s="89" t="s">
        <v>205</v>
      </c>
    </row>
    <row r="16" spans="2:10" ht="41.25" customHeight="1" x14ac:dyDescent="0.2">
      <c r="B16" s="739" t="s">
        <v>218</v>
      </c>
      <c r="C16" s="739"/>
      <c r="D16" s="321">
        <v>3.27</v>
      </c>
      <c r="E16" s="321" t="s">
        <v>213</v>
      </c>
      <c r="F16" s="321">
        <v>3.43</v>
      </c>
      <c r="G16" s="321">
        <v>3.6</v>
      </c>
      <c r="H16" s="321">
        <v>3.76</v>
      </c>
      <c r="I16" s="321">
        <v>3.33</v>
      </c>
      <c r="J16" s="97"/>
    </row>
    <row r="17" spans="2:14" ht="41.25" customHeight="1" x14ac:dyDescent="0.2">
      <c r="B17" s="739" t="s">
        <v>235</v>
      </c>
      <c r="C17" s="739"/>
      <c r="D17" s="321" t="s">
        <v>213</v>
      </c>
      <c r="E17" s="321" t="s">
        <v>213</v>
      </c>
      <c r="F17" s="321">
        <v>3.2</v>
      </c>
      <c r="G17" s="321">
        <v>3</v>
      </c>
      <c r="H17" s="321">
        <v>2.86</v>
      </c>
      <c r="I17" s="321">
        <v>2.5</v>
      </c>
      <c r="J17" s="97"/>
    </row>
    <row r="18" spans="2:14" ht="41.25" customHeight="1" x14ac:dyDescent="0.2">
      <c r="B18" s="739" t="s">
        <v>262</v>
      </c>
      <c r="C18" s="739"/>
      <c r="D18" s="321" t="s">
        <v>213</v>
      </c>
      <c r="E18" s="321">
        <v>4</v>
      </c>
      <c r="F18" s="321">
        <v>3.33</v>
      </c>
      <c r="G18" s="321">
        <v>2</v>
      </c>
      <c r="H18" s="321">
        <v>4.17</v>
      </c>
      <c r="I18" s="321">
        <v>3</v>
      </c>
      <c r="J18" s="97"/>
    </row>
    <row r="19" spans="2:14" ht="41.25" customHeight="1" x14ac:dyDescent="0.2">
      <c r="B19" s="739" t="s">
        <v>221</v>
      </c>
      <c r="C19" s="739"/>
      <c r="D19" s="321">
        <v>2.56</v>
      </c>
      <c r="E19" s="321">
        <v>3.05</v>
      </c>
      <c r="F19" s="321">
        <v>3.46</v>
      </c>
      <c r="G19" s="321">
        <v>2.33</v>
      </c>
      <c r="H19" s="321">
        <v>3.52</v>
      </c>
      <c r="I19" s="321">
        <v>3.25</v>
      </c>
      <c r="J19" s="97"/>
    </row>
    <row r="20" spans="2:14" ht="41.25" customHeight="1" x14ac:dyDescent="0.2">
      <c r="B20" s="739" t="s">
        <v>294</v>
      </c>
      <c r="C20" s="739"/>
      <c r="D20" s="321" t="s">
        <v>213</v>
      </c>
      <c r="E20" s="321" t="s">
        <v>213</v>
      </c>
      <c r="F20" s="321" t="s">
        <v>213</v>
      </c>
      <c r="G20" s="321">
        <v>4</v>
      </c>
      <c r="H20" s="321">
        <v>3.56</v>
      </c>
      <c r="I20" s="321">
        <v>2.71</v>
      </c>
      <c r="J20" s="97"/>
      <c r="K20" s="20"/>
      <c r="L20" s="25"/>
      <c r="M20" s="25"/>
    </row>
    <row r="21" spans="2:14" ht="41.25" customHeight="1" x14ac:dyDescent="0.2">
      <c r="B21" s="739" t="s">
        <v>295</v>
      </c>
      <c r="C21" s="739"/>
      <c r="D21" s="321">
        <v>3.13</v>
      </c>
      <c r="E21" s="321">
        <v>3</v>
      </c>
      <c r="F21" s="321" t="s">
        <v>213</v>
      </c>
      <c r="G21" s="321">
        <v>3.25</v>
      </c>
      <c r="H21" s="321">
        <v>4</v>
      </c>
      <c r="I21" s="321">
        <v>3.2</v>
      </c>
      <c r="J21" s="97"/>
      <c r="K21" s="20"/>
      <c r="L21" s="25"/>
      <c r="M21" s="25"/>
    </row>
    <row r="22" spans="2:14" ht="41.25" customHeight="1" x14ac:dyDescent="0.2">
      <c r="B22" s="739" t="s">
        <v>224</v>
      </c>
      <c r="C22" s="739"/>
      <c r="D22" s="321">
        <v>2</v>
      </c>
      <c r="E22" s="321" t="s">
        <v>213</v>
      </c>
      <c r="F22" s="321" t="s">
        <v>213</v>
      </c>
      <c r="G22" s="321" t="s">
        <v>213</v>
      </c>
      <c r="H22" s="321">
        <v>3.71</v>
      </c>
      <c r="I22" s="321" t="s">
        <v>213</v>
      </c>
      <c r="J22" s="97"/>
      <c r="K22" s="20"/>
      <c r="L22" s="25"/>
      <c r="M22" s="25"/>
    </row>
    <row r="23" spans="2:14" ht="41.25" customHeight="1" x14ac:dyDescent="0.2">
      <c r="B23" s="739" t="s">
        <v>225</v>
      </c>
      <c r="C23" s="739"/>
      <c r="D23" s="321" t="s">
        <v>213</v>
      </c>
      <c r="E23" s="321" t="s">
        <v>213</v>
      </c>
      <c r="F23" s="321" t="s">
        <v>213</v>
      </c>
      <c r="G23" s="321" t="s">
        <v>213</v>
      </c>
      <c r="H23" s="321">
        <v>3.87</v>
      </c>
      <c r="I23" s="321">
        <v>2.9</v>
      </c>
      <c r="J23" s="97"/>
      <c r="K23" s="20"/>
      <c r="L23" s="25"/>
      <c r="M23" s="25"/>
    </row>
    <row r="24" spans="2:14" ht="41.25" customHeight="1" x14ac:dyDescent="0.2">
      <c r="B24" s="739" t="s">
        <v>226</v>
      </c>
      <c r="C24" s="739"/>
      <c r="D24" s="321">
        <v>3.6</v>
      </c>
      <c r="E24" s="321">
        <v>3.07</v>
      </c>
      <c r="F24" s="321">
        <v>3</v>
      </c>
      <c r="G24" s="321">
        <v>1.8</v>
      </c>
      <c r="H24" s="321">
        <v>4.17</v>
      </c>
      <c r="I24" s="321">
        <v>3.42</v>
      </c>
      <c r="J24" s="26"/>
    </row>
    <row r="25" spans="2:14" ht="41.25" customHeight="1" x14ac:dyDescent="0.2">
      <c r="B25" s="739" t="s">
        <v>227</v>
      </c>
      <c r="C25" s="739"/>
      <c r="D25" s="321">
        <v>2.64</v>
      </c>
      <c r="E25" s="321">
        <v>2.67</v>
      </c>
      <c r="F25" s="321">
        <v>3</v>
      </c>
      <c r="G25" s="321">
        <v>3</v>
      </c>
      <c r="H25" s="321">
        <v>3.82</v>
      </c>
      <c r="I25" s="321">
        <v>2.93</v>
      </c>
      <c r="J25" s="27"/>
      <c r="K25" s="50"/>
      <c r="L25" s="50"/>
      <c r="M25" s="50"/>
      <c r="N25" s="50"/>
    </row>
    <row r="26" spans="2:14" ht="41.25" customHeight="1" x14ac:dyDescent="0.2">
      <c r="B26" s="739" t="s">
        <v>228</v>
      </c>
      <c r="C26" s="739"/>
      <c r="D26" s="321">
        <v>2.71</v>
      </c>
      <c r="E26" s="321">
        <v>2.85</v>
      </c>
      <c r="F26" s="321">
        <v>2.58</v>
      </c>
      <c r="G26" s="321">
        <v>3.25</v>
      </c>
      <c r="H26" s="321">
        <v>3.58</v>
      </c>
      <c r="I26" s="321">
        <v>3.07</v>
      </c>
      <c r="J26" s="27"/>
      <c r="K26" s="50"/>
      <c r="L26" s="50"/>
      <c r="M26" s="50"/>
      <c r="N26" s="50"/>
    </row>
    <row r="27" spans="2:14" ht="22.5" customHeight="1" x14ac:dyDescent="0.2">
      <c r="B27" s="909" t="str">
        <f>D5</f>
        <v>≥3</v>
      </c>
      <c r="C27" s="909"/>
      <c r="D27" s="399">
        <f t="shared" ref="D27:I27" si="0">COUNTIF(D16:D26,"&gt;="&amp;D29)</f>
        <v>3</v>
      </c>
      <c r="E27" s="399">
        <f t="shared" si="0"/>
        <v>4</v>
      </c>
      <c r="F27" s="399">
        <f t="shared" si="0"/>
        <v>6</v>
      </c>
      <c r="G27" s="399">
        <f t="shared" si="0"/>
        <v>6</v>
      </c>
      <c r="H27" s="399">
        <f t="shared" si="0"/>
        <v>10</v>
      </c>
      <c r="I27" s="399">
        <f t="shared" si="0"/>
        <v>6</v>
      </c>
    </row>
    <row r="28" spans="2:14" ht="22.5" customHeight="1" x14ac:dyDescent="0.2">
      <c r="B28" s="734" t="s">
        <v>248</v>
      </c>
      <c r="C28" s="734"/>
      <c r="D28" s="325">
        <f t="shared" ref="D28:I28" si="1">COUNT(D16:D26)</f>
        <v>7</v>
      </c>
      <c r="E28" s="325">
        <f t="shared" si="1"/>
        <v>6</v>
      </c>
      <c r="F28" s="325">
        <f t="shared" si="1"/>
        <v>7</v>
      </c>
      <c r="G28" s="325">
        <f t="shared" si="1"/>
        <v>9</v>
      </c>
      <c r="H28" s="325">
        <f t="shared" si="1"/>
        <v>11</v>
      </c>
      <c r="I28" s="325">
        <f t="shared" si="1"/>
        <v>10</v>
      </c>
    </row>
    <row r="29" spans="2:14" ht="22.5" customHeight="1" x14ac:dyDescent="0.2">
      <c r="B29" s="799" t="s">
        <v>207</v>
      </c>
      <c r="C29" s="879"/>
      <c r="D29" s="65">
        <v>3</v>
      </c>
      <c r="E29" s="65">
        <v>3</v>
      </c>
      <c r="F29" s="65">
        <v>3</v>
      </c>
      <c r="G29" s="65">
        <v>3</v>
      </c>
      <c r="H29" s="65">
        <v>3</v>
      </c>
      <c r="I29" s="65">
        <v>3</v>
      </c>
    </row>
    <row r="30" spans="2:14" ht="22.5" customHeight="1" x14ac:dyDescent="0.2">
      <c r="B30" s="799" t="s">
        <v>208</v>
      </c>
      <c r="C30" s="879"/>
      <c r="D30" s="43">
        <f t="shared" ref="D30:I30" si="2">D27/D28</f>
        <v>0.42857142857142855</v>
      </c>
      <c r="E30" s="43">
        <f t="shared" si="2"/>
        <v>0.66666666666666663</v>
      </c>
      <c r="F30" s="43">
        <f t="shared" si="2"/>
        <v>0.8571428571428571</v>
      </c>
      <c r="G30" s="43">
        <f t="shared" si="2"/>
        <v>0.66666666666666663</v>
      </c>
      <c r="H30" s="43">
        <f t="shared" si="2"/>
        <v>0.90909090909090906</v>
      </c>
      <c r="I30" s="43">
        <f t="shared" si="2"/>
        <v>0.6</v>
      </c>
    </row>
    <row r="31" spans="2:14" ht="22.5" customHeight="1" x14ac:dyDescent="0.25">
      <c r="B31" s="7"/>
      <c r="C31" s="7"/>
      <c r="D31" s="6"/>
      <c r="E31" s="6"/>
      <c r="F31" s="6"/>
      <c r="G31" s="6"/>
      <c r="H31" s="6"/>
      <c r="I31" s="6"/>
      <c r="J31" s="6"/>
    </row>
    <row r="32" spans="2:14" ht="22.5" customHeight="1" x14ac:dyDescent="0.2">
      <c r="B32" s="567" t="s">
        <v>469</v>
      </c>
      <c r="C32" s="568"/>
      <c r="D32" s="568"/>
      <c r="E32" s="569"/>
      <c r="F32" s="8"/>
      <c r="K32" s="788" t="s">
        <v>470</v>
      </c>
      <c r="L32" s="789"/>
      <c r="M32" s="789"/>
      <c r="N32" s="789"/>
    </row>
    <row r="33" spans="2:14" ht="22.5" customHeight="1" x14ac:dyDescent="0.2">
      <c r="B33" s="8"/>
      <c r="C33" s="8"/>
      <c r="D33" s="8"/>
      <c r="E33" s="8"/>
      <c r="F33" s="8"/>
      <c r="K33" s="667" t="s">
        <v>446</v>
      </c>
      <c r="L33" s="667"/>
      <c r="M33" s="667"/>
      <c r="N33" s="667"/>
    </row>
    <row r="34" spans="2:14" ht="6" customHeight="1" x14ac:dyDescent="0.2">
      <c r="B34" s="8"/>
      <c r="C34" s="8"/>
      <c r="D34" s="8"/>
      <c r="E34" s="8"/>
      <c r="F34" s="8"/>
      <c r="K34" s="667"/>
      <c r="L34" s="667"/>
      <c r="M34" s="667"/>
      <c r="N34" s="667"/>
    </row>
    <row r="35" spans="2:14" ht="19.5" customHeight="1" x14ac:dyDescent="0.2">
      <c r="B35" s="8"/>
      <c r="C35" s="8"/>
      <c r="D35" s="8"/>
      <c r="E35" s="8"/>
      <c r="F35" s="8"/>
      <c r="K35" s="667"/>
      <c r="L35" s="667"/>
      <c r="M35" s="667"/>
      <c r="N35" s="667"/>
    </row>
    <row r="36" spans="2:14" ht="19.5" customHeight="1" x14ac:dyDescent="0.2">
      <c r="K36" s="667"/>
      <c r="L36" s="667"/>
      <c r="M36" s="667"/>
      <c r="N36" s="667"/>
    </row>
    <row r="37" spans="2:14" ht="19.5" customHeight="1" x14ac:dyDescent="0.2">
      <c r="K37" s="667"/>
      <c r="L37" s="667"/>
      <c r="M37" s="667"/>
      <c r="N37" s="667"/>
    </row>
    <row r="38" spans="2:14" ht="19.5" customHeight="1" x14ac:dyDescent="0.2">
      <c r="K38" s="667"/>
      <c r="L38" s="667"/>
      <c r="M38" s="667"/>
      <c r="N38" s="667"/>
    </row>
    <row r="39" spans="2:14" ht="19.5" customHeight="1" x14ac:dyDescent="0.2">
      <c r="K39" s="667"/>
      <c r="L39" s="667"/>
      <c r="M39" s="667"/>
      <c r="N39" s="667"/>
    </row>
    <row r="40" spans="2:14" ht="19.5" customHeight="1" x14ac:dyDescent="0.2">
      <c r="K40" s="667"/>
      <c r="L40" s="667"/>
      <c r="M40" s="667"/>
      <c r="N40" s="667"/>
    </row>
    <row r="41" spans="2:14" ht="19.5" customHeight="1" x14ac:dyDescent="0.2">
      <c r="K41" s="667"/>
      <c r="L41" s="667"/>
      <c r="M41" s="667"/>
      <c r="N41" s="667"/>
    </row>
    <row r="42" spans="2:14" ht="19.5" customHeight="1" x14ac:dyDescent="0.2">
      <c r="K42" s="667"/>
      <c r="L42" s="667"/>
      <c r="M42" s="667"/>
      <c r="N42" s="667"/>
    </row>
    <row r="43" spans="2:14" ht="19.5" customHeight="1" x14ac:dyDescent="0.2"/>
    <row r="44" spans="2:14" ht="19.5" customHeight="1" x14ac:dyDescent="0.2">
      <c r="H44" s="559" t="s">
        <v>155</v>
      </c>
      <c r="I44" s="560"/>
      <c r="J44" s="560"/>
    </row>
  </sheetData>
  <sheetProtection formatCells="0" formatColumns="0" formatRows="0" insertColumns="0" insertRows="0" insertHyperlinks="0" deleteColumns="0" deleteRows="0" pivotTables="0"/>
  <mergeCells count="47">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B20:C20"/>
    <mergeCell ref="B9:C9"/>
    <mergeCell ref="B16:C16"/>
    <mergeCell ref="B17:C17"/>
    <mergeCell ref="B18:C18"/>
    <mergeCell ref="B19:C19"/>
    <mergeCell ref="B13:J13"/>
    <mergeCell ref="B15:C15"/>
    <mergeCell ref="K32:N32"/>
    <mergeCell ref="K33:N42"/>
    <mergeCell ref="B21:C21"/>
    <mergeCell ref="B22:C22"/>
    <mergeCell ref="B24:C24"/>
    <mergeCell ref="B25:C25"/>
    <mergeCell ref="B26:C26"/>
    <mergeCell ref="B23:C23"/>
    <mergeCell ref="H44:J44"/>
    <mergeCell ref="B27:C27"/>
    <mergeCell ref="B28:C28"/>
    <mergeCell ref="B29:C29"/>
    <mergeCell ref="B30:C30"/>
    <mergeCell ref="B32:E32"/>
    <mergeCell ref="B8:C8"/>
    <mergeCell ref="D8:E8"/>
    <mergeCell ref="F8:G8"/>
    <mergeCell ref="H8:J8"/>
    <mergeCell ref="D9:E9"/>
    <mergeCell ref="F9:G9"/>
    <mergeCell ref="H9:J9"/>
  </mergeCells>
  <conditionalFormatting sqref="D16:I26">
    <cfRule type="cellIs" dxfId="1" priority="1" operator="lessThan">
      <formula>3</formula>
    </cfRule>
  </conditionalFormatting>
  <pageMargins left="0.7" right="0.7" top="0.75" bottom="0.75" header="0" footer="0"/>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FCA56-7FF0-47CC-9691-1E9F0B97E3DF}">
  <sheetPr>
    <tabColor theme="9" tint="-0.499984740745262"/>
    <pageSetUpPr fitToPage="1"/>
  </sheetPr>
  <dimension ref="B2:M43"/>
  <sheetViews>
    <sheetView showGridLines="0" topLeftCell="A3" zoomScale="70" zoomScaleNormal="70" workbookViewId="0">
      <selection activeCell="K9" sqref="K9"/>
    </sheetView>
  </sheetViews>
  <sheetFormatPr defaultColWidth="12.5703125" defaultRowHeight="15.75" customHeight="1" x14ac:dyDescent="0.2"/>
  <cols>
    <col min="1" max="1" width="3.42578125" customWidth="1"/>
    <col min="2" max="2" width="14.140625" customWidth="1"/>
    <col min="3" max="3" width="16.85546875" customWidth="1"/>
    <col min="4" max="4" width="25" customWidth="1"/>
    <col min="5" max="9" width="12.5703125" customWidth="1"/>
    <col min="10" max="10" width="36.28515625" customWidth="1"/>
    <col min="11" max="11" width="32.5703125" customWidth="1"/>
    <col min="12" max="20" width="7.5703125" customWidth="1"/>
  </cols>
  <sheetData>
    <row r="2" spans="2:10" ht="55.5" customHeight="1" x14ac:dyDescent="0.2">
      <c r="B2" s="714"/>
      <c r="C2" s="715"/>
      <c r="D2" s="716"/>
      <c r="E2" s="717" t="s">
        <v>192</v>
      </c>
      <c r="F2" s="715"/>
      <c r="G2" s="715"/>
      <c r="H2" s="715"/>
      <c r="I2" s="715"/>
      <c r="J2" s="716"/>
    </row>
    <row r="3" spans="2:10" ht="22.5" customHeight="1" x14ac:dyDescent="0.2">
      <c r="B3" s="41"/>
      <c r="C3" s="41"/>
      <c r="D3" s="42"/>
      <c r="E3" s="42"/>
      <c r="F3" s="42"/>
      <c r="G3" s="42"/>
      <c r="H3" s="42"/>
      <c r="I3" s="42"/>
    </row>
    <row r="4" spans="2:10" ht="42" customHeight="1" x14ac:dyDescent="0.2">
      <c r="B4" s="567" t="s">
        <v>193</v>
      </c>
      <c r="C4" s="569"/>
      <c r="D4" s="718" t="str">
        <f>Índex!B79</f>
        <v xml:space="preserve"> PS5.06_Ind01. </v>
      </c>
      <c r="E4" s="716"/>
      <c r="F4" s="567" t="s">
        <v>194</v>
      </c>
      <c r="G4" s="569"/>
      <c r="H4" s="718" t="str">
        <f>Índex!C79</f>
        <v>Valoració mitjana a la pregunta: "La informació referent a la titulació al web és accessible i m’ha resultat útil".</v>
      </c>
      <c r="I4" s="715"/>
      <c r="J4" s="716"/>
    </row>
    <row r="5" spans="2:10" ht="22.5" customHeight="1" x14ac:dyDescent="0.2">
      <c r="B5" s="567" t="s">
        <v>195</v>
      </c>
      <c r="C5" s="569"/>
      <c r="D5" s="875">
        <f>Índex!F79</f>
        <v>3.5</v>
      </c>
      <c r="E5" s="863"/>
      <c r="F5" s="567" t="s">
        <v>196</v>
      </c>
      <c r="G5" s="569"/>
      <c r="H5" s="718" t="s">
        <v>433</v>
      </c>
      <c r="I5" s="715"/>
      <c r="J5" s="716"/>
    </row>
    <row r="6" spans="2:10" ht="22.5" customHeight="1" x14ac:dyDescent="0.2">
      <c r="B6" s="567" t="s">
        <v>471</v>
      </c>
      <c r="C6" s="569"/>
      <c r="D6" s="718" t="str">
        <f>Índex!H79</f>
        <v>Objectiu de Qualitat. Grups d'interès</v>
      </c>
      <c r="E6" s="716"/>
      <c r="F6" s="567" t="s">
        <v>462</v>
      </c>
      <c r="G6" s="569"/>
      <c r="H6" s="718"/>
      <c r="I6" s="715"/>
      <c r="J6" s="716"/>
    </row>
    <row r="7" spans="2:10" ht="22.5" customHeight="1" x14ac:dyDescent="0.2">
      <c r="B7" s="567" t="s">
        <v>463</v>
      </c>
      <c r="C7" s="569"/>
      <c r="D7" s="718"/>
      <c r="E7" s="716"/>
      <c r="F7" s="567" t="s">
        <v>464</v>
      </c>
      <c r="G7" s="569"/>
      <c r="H7" s="718" t="s">
        <v>198</v>
      </c>
      <c r="I7" s="715"/>
      <c r="J7" s="716"/>
    </row>
    <row r="8" spans="2:10" ht="22.5" customHeight="1" x14ac:dyDescent="0.2">
      <c r="B8" s="567" t="s">
        <v>465</v>
      </c>
      <c r="C8" s="569"/>
      <c r="D8" s="718" t="str">
        <f>Índex!D79</f>
        <v>Vicedegà d'Alumnat i de Promoció</v>
      </c>
      <c r="E8" s="716"/>
      <c r="F8" s="567" t="s">
        <v>472</v>
      </c>
      <c r="G8" s="569"/>
      <c r="H8" s="718" t="str">
        <f>Índex!E79</f>
        <v>Gestora de Qualitat</v>
      </c>
      <c r="I8" s="715"/>
      <c r="J8" s="716"/>
    </row>
    <row r="9" spans="2:10" ht="22.5" customHeight="1" x14ac:dyDescent="0.2">
      <c r="B9" s="567" t="s">
        <v>461</v>
      </c>
      <c r="C9" s="569"/>
      <c r="D9" s="718" t="str">
        <f>Índex!G79</f>
        <v xml:space="preserve"> PS5.06. Informació Pública</v>
      </c>
      <c r="E9" s="716"/>
      <c r="F9" s="567" t="s">
        <v>467</v>
      </c>
      <c r="G9" s="569"/>
      <c r="H9" s="718"/>
      <c r="I9" s="715"/>
      <c r="J9" s="716"/>
    </row>
    <row r="10" spans="2:10" ht="7.5" customHeight="1" x14ac:dyDescent="0.2"/>
    <row r="11" spans="2:10" ht="22.5" customHeight="1" x14ac:dyDescent="0.2">
      <c r="B11" s="567" t="s">
        <v>468</v>
      </c>
      <c r="C11" s="568"/>
      <c r="D11" s="568"/>
      <c r="E11" s="568"/>
      <c r="F11" s="568"/>
      <c r="G11" s="568"/>
      <c r="H11" s="568"/>
      <c r="I11" s="568"/>
      <c r="J11" s="569"/>
    </row>
    <row r="12" spans="2:10" ht="22.5" customHeight="1" x14ac:dyDescent="0.2">
      <c r="B12" s="30" t="s">
        <v>155</v>
      </c>
      <c r="C12" s="12"/>
      <c r="D12" s="12"/>
      <c r="E12" s="12"/>
      <c r="F12" s="12"/>
      <c r="G12" s="12"/>
      <c r="H12" s="12"/>
      <c r="I12" s="12"/>
      <c r="J12" s="12"/>
    </row>
    <row r="13" spans="2:10" ht="22.5" customHeight="1" x14ac:dyDescent="0.2"/>
    <row r="14" spans="2:10" ht="22.5" customHeight="1" x14ac:dyDescent="0.2">
      <c r="B14" s="965"/>
      <c r="C14" s="966"/>
      <c r="D14" s="78" t="s">
        <v>200</v>
      </c>
      <c r="E14" s="78" t="s">
        <v>201</v>
      </c>
      <c r="F14" s="78" t="s">
        <v>202</v>
      </c>
      <c r="G14" s="78" t="s">
        <v>203</v>
      </c>
      <c r="H14" s="78" t="s">
        <v>204</v>
      </c>
      <c r="I14" s="78" t="s">
        <v>205</v>
      </c>
    </row>
    <row r="15" spans="2:10" ht="41.25" customHeight="1" x14ac:dyDescent="0.2">
      <c r="B15" s="739" t="s">
        <v>218</v>
      </c>
      <c r="C15" s="739"/>
      <c r="D15" s="321">
        <v>3.73</v>
      </c>
      <c r="E15" s="321" t="s">
        <v>213</v>
      </c>
      <c r="F15" s="321">
        <v>3.75</v>
      </c>
      <c r="G15" s="321">
        <v>4.2</v>
      </c>
      <c r="H15" s="321">
        <v>3.53</v>
      </c>
      <c r="I15" s="321">
        <v>3.92</v>
      </c>
      <c r="J15" s="97"/>
    </row>
    <row r="16" spans="2:10" ht="41.25" customHeight="1" x14ac:dyDescent="0.2">
      <c r="B16" s="739" t="s">
        <v>235</v>
      </c>
      <c r="C16" s="739"/>
      <c r="D16" s="321" t="s">
        <v>213</v>
      </c>
      <c r="E16" s="321" t="s">
        <v>213</v>
      </c>
      <c r="F16" s="321">
        <v>3.6</v>
      </c>
      <c r="G16" s="321">
        <v>4</v>
      </c>
      <c r="H16" s="321">
        <v>3.71</v>
      </c>
      <c r="I16" s="321">
        <v>3.29</v>
      </c>
      <c r="J16" s="97"/>
    </row>
    <row r="17" spans="2:13" ht="41.25" customHeight="1" x14ac:dyDescent="0.2">
      <c r="B17" s="739" t="s">
        <v>262</v>
      </c>
      <c r="C17" s="739"/>
      <c r="D17" s="321" t="s">
        <v>213</v>
      </c>
      <c r="E17" s="321">
        <v>4</v>
      </c>
      <c r="F17" s="321">
        <v>4.17</v>
      </c>
      <c r="G17" s="321">
        <v>2</v>
      </c>
      <c r="H17" s="321">
        <v>4.33</v>
      </c>
      <c r="I17" s="321">
        <v>3.78</v>
      </c>
      <c r="J17" s="97"/>
    </row>
    <row r="18" spans="2:13" ht="41.25" customHeight="1" x14ac:dyDescent="0.2">
      <c r="B18" s="739" t="s">
        <v>221</v>
      </c>
      <c r="C18" s="739"/>
      <c r="D18" s="321">
        <v>3.33</v>
      </c>
      <c r="E18" s="321">
        <v>3.9</v>
      </c>
      <c r="F18" s="321">
        <v>3.85</v>
      </c>
      <c r="G18" s="321">
        <v>3</v>
      </c>
      <c r="H18" s="321">
        <v>3.86</v>
      </c>
      <c r="I18" s="321">
        <v>4.07</v>
      </c>
      <c r="J18" s="97"/>
    </row>
    <row r="19" spans="2:13" ht="41.25" customHeight="1" x14ac:dyDescent="0.2">
      <c r="B19" s="739" t="s">
        <v>294</v>
      </c>
      <c r="C19" s="739"/>
      <c r="D19" s="321" t="s">
        <v>213</v>
      </c>
      <c r="E19" s="321" t="s">
        <v>213</v>
      </c>
      <c r="F19" s="321" t="s">
        <v>213</v>
      </c>
      <c r="G19" s="321">
        <v>4</v>
      </c>
      <c r="H19" s="321">
        <v>4.1100000000000003</v>
      </c>
      <c r="I19" s="321">
        <v>4</v>
      </c>
      <c r="J19" s="97"/>
      <c r="K19" s="20"/>
      <c r="L19" s="25"/>
      <c r="M19" s="25"/>
    </row>
    <row r="20" spans="2:13" ht="41.25" customHeight="1" x14ac:dyDescent="0.2">
      <c r="B20" s="739" t="s">
        <v>295</v>
      </c>
      <c r="C20" s="739"/>
      <c r="D20" s="321">
        <v>3.5</v>
      </c>
      <c r="E20" s="321">
        <v>4</v>
      </c>
      <c r="F20" s="321" t="s">
        <v>213</v>
      </c>
      <c r="G20" s="321">
        <v>3.5</v>
      </c>
      <c r="H20" s="321">
        <v>3.88</v>
      </c>
      <c r="I20" s="321">
        <v>4.17</v>
      </c>
      <c r="J20" s="97"/>
      <c r="K20" s="20"/>
      <c r="L20" s="25"/>
      <c r="M20" s="25"/>
    </row>
    <row r="21" spans="2:13" ht="41.25" customHeight="1" x14ac:dyDescent="0.2">
      <c r="B21" s="813" t="s">
        <v>224</v>
      </c>
      <c r="C21" s="814"/>
      <c r="D21" s="321">
        <v>3.4</v>
      </c>
      <c r="E21" s="321" t="s">
        <v>213</v>
      </c>
      <c r="F21" s="321" t="s">
        <v>213</v>
      </c>
      <c r="G21" s="321" t="s">
        <v>213</v>
      </c>
      <c r="H21" s="321">
        <v>3.67</v>
      </c>
      <c r="I21" s="321" t="s">
        <v>213</v>
      </c>
      <c r="J21" s="97"/>
      <c r="K21" s="20"/>
      <c r="L21" s="25"/>
      <c r="M21" s="25"/>
    </row>
    <row r="22" spans="2:13" ht="45" customHeight="1" x14ac:dyDescent="0.2">
      <c r="B22" s="813" t="s">
        <v>578</v>
      </c>
      <c r="C22" s="814"/>
      <c r="D22" s="321" t="s">
        <v>213</v>
      </c>
      <c r="E22" s="321" t="s">
        <v>213</v>
      </c>
      <c r="F22" s="321" t="s">
        <v>213</v>
      </c>
      <c r="G22" s="321" t="s">
        <v>213</v>
      </c>
      <c r="H22" s="321">
        <v>4.57</v>
      </c>
      <c r="I22" s="321">
        <v>3.77</v>
      </c>
      <c r="J22" s="97"/>
      <c r="K22" s="20"/>
      <c r="L22" s="25"/>
      <c r="M22" s="25"/>
    </row>
    <row r="23" spans="2:13" ht="41.25" customHeight="1" x14ac:dyDescent="0.2">
      <c r="B23" s="739" t="s">
        <v>226</v>
      </c>
      <c r="C23" s="739"/>
      <c r="D23" s="321">
        <v>3.9</v>
      </c>
      <c r="E23" s="321">
        <v>3.93</v>
      </c>
      <c r="F23" s="321">
        <v>3</v>
      </c>
      <c r="G23" s="321">
        <v>3.2</v>
      </c>
      <c r="H23" s="321">
        <v>4.13</v>
      </c>
      <c r="I23" s="321">
        <v>4.2300000000000004</v>
      </c>
      <c r="K23" s="801" t="s">
        <v>470</v>
      </c>
      <c r="L23" s="802"/>
      <c r="M23" s="803"/>
    </row>
    <row r="24" spans="2:13" ht="41.25" customHeight="1" x14ac:dyDescent="0.2">
      <c r="B24" s="739" t="s">
        <v>227</v>
      </c>
      <c r="C24" s="739"/>
      <c r="D24" s="321">
        <v>3.64</v>
      </c>
      <c r="E24" s="321">
        <v>3.67</v>
      </c>
      <c r="F24" s="321">
        <v>3</v>
      </c>
      <c r="G24" s="321">
        <v>3.5</v>
      </c>
      <c r="H24" s="321">
        <v>3.91</v>
      </c>
      <c r="I24" s="321">
        <v>3.4</v>
      </c>
      <c r="K24" s="667" t="s">
        <v>447</v>
      </c>
      <c r="L24" s="667"/>
      <c r="M24" s="667"/>
    </row>
    <row r="25" spans="2:13" ht="41.25" customHeight="1" x14ac:dyDescent="0.2">
      <c r="B25" s="739" t="s">
        <v>228</v>
      </c>
      <c r="C25" s="739"/>
      <c r="D25" s="321">
        <v>3.32</v>
      </c>
      <c r="E25" s="321">
        <v>3.63</v>
      </c>
      <c r="F25" s="321">
        <v>2.58</v>
      </c>
      <c r="G25" s="321">
        <v>4</v>
      </c>
      <c r="H25" s="321">
        <v>4</v>
      </c>
      <c r="I25" s="321">
        <v>3.82</v>
      </c>
      <c r="K25" s="667"/>
      <c r="L25" s="667"/>
      <c r="M25" s="667"/>
    </row>
    <row r="26" spans="2:13" ht="22.5" customHeight="1" x14ac:dyDescent="0.2">
      <c r="B26" s="909">
        <f>D5</f>
        <v>3.5</v>
      </c>
      <c r="C26" s="909"/>
      <c r="D26" s="399">
        <f t="shared" ref="D26:I26" si="0">COUNTIF(D15:D25,"&gt;="&amp;D28)</f>
        <v>4</v>
      </c>
      <c r="E26" s="399">
        <f t="shared" si="0"/>
        <v>6</v>
      </c>
      <c r="F26" s="399">
        <f t="shared" si="0"/>
        <v>4</v>
      </c>
      <c r="G26" s="399">
        <f t="shared" si="0"/>
        <v>6</v>
      </c>
      <c r="H26" s="399">
        <f t="shared" si="0"/>
        <v>11</v>
      </c>
      <c r="I26" s="399">
        <f t="shared" si="0"/>
        <v>8</v>
      </c>
      <c r="K26" s="667"/>
      <c r="L26" s="667"/>
      <c r="M26" s="667"/>
    </row>
    <row r="27" spans="2:13" ht="22.5" customHeight="1" x14ac:dyDescent="0.2">
      <c r="B27" s="734" t="s">
        <v>248</v>
      </c>
      <c r="C27" s="734"/>
      <c r="D27" s="325">
        <f t="shared" ref="D27:I27" si="1">COUNT(D15:D25)</f>
        <v>7</v>
      </c>
      <c r="E27" s="325">
        <f t="shared" si="1"/>
        <v>6</v>
      </c>
      <c r="F27" s="325">
        <f t="shared" si="1"/>
        <v>7</v>
      </c>
      <c r="G27" s="412">
        <f t="shared" si="1"/>
        <v>9</v>
      </c>
      <c r="H27" s="325">
        <f t="shared" si="1"/>
        <v>11</v>
      </c>
      <c r="I27" s="325">
        <f t="shared" si="1"/>
        <v>10</v>
      </c>
      <c r="K27" s="667"/>
      <c r="L27" s="667"/>
      <c r="M27" s="667"/>
    </row>
    <row r="28" spans="2:13" ht="22.5" customHeight="1" x14ac:dyDescent="0.2">
      <c r="B28" s="799" t="s">
        <v>207</v>
      </c>
      <c r="C28" s="879"/>
      <c r="D28" s="65">
        <f t="shared" ref="D28:I28" si="2">$D$5</f>
        <v>3.5</v>
      </c>
      <c r="E28" s="65">
        <f t="shared" si="2"/>
        <v>3.5</v>
      </c>
      <c r="F28" s="65">
        <f t="shared" si="2"/>
        <v>3.5</v>
      </c>
      <c r="G28" s="65">
        <f t="shared" si="2"/>
        <v>3.5</v>
      </c>
      <c r="H28" s="65">
        <f t="shared" si="2"/>
        <v>3.5</v>
      </c>
      <c r="I28" s="65">
        <f t="shared" si="2"/>
        <v>3.5</v>
      </c>
      <c r="K28" s="667"/>
      <c r="L28" s="667"/>
      <c r="M28" s="667"/>
    </row>
    <row r="29" spans="2:13" ht="22.5" customHeight="1" x14ac:dyDescent="0.2">
      <c r="B29" s="799" t="s">
        <v>208</v>
      </c>
      <c r="C29" s="879"/>
      <c r="D29" s="43">
        <f t="shared" ref="D29:I29" si="3">D26/D27</f>
        <v>0.5714285714285714</v>
      </c>
      <c r="E29" s="43">
        <f t="shared" si="3"/>
        <v>1</v>
      </c>
      <c r="F29" s="43">
        <f t="shared" si="3"/>
        <v>0.5714285714285714</v>
      </c>
      <c r="G29" s="166">
        <f t="shared" si="3"/>
        <v>0.66666666666666663</v>
      </c>
      <c r="H29" s="43">
        <f t="shared" si="3"/>
        <v>1</v>
      </c>
      <c r="I29" s="43">
        <f t="shared" si="3"/>
        <v>0.8</v>
      </c>
      <c r="K29" s="667"/>
      <c r="L29" s="667"/>
      <c r="M29" s="667"/>
    </row>
    <row r="30" spans="2:13" ht="22.5" customHeight="1" x14ac:dyDescent="0.25">
      <c r="B30" s="7"/>
      <c r="C30" s="7"/>
      <c r="D30" s="6"/>
      <c r="E30" s="6"/>
      <c r="F30" s="6"/>
      <c r="G30" s="6"/>
      <c r="H30" s="6"/>
      <c r="I30" s="6"/>
      <c r="K30" s="667"/>
      <c r="L30" s="667"/>
      <c r="M30" s="667"/>
    </row>
    <row r="31" spans="2:13" ht="22.5" customHeight="1" x14ac:dyDescent="0.2">
      <c r="B31" s="567" t="s">
        <v>469</v>
      </c>
      <c r="C31" s="568"/>
      <c r="D31" s="568"/>
      <c r="E31" s="569"/>
      <c r="F31" s="8"/>
      <c r="K31" s="108"/>
      <c r="L31" s="10"/>
      <c r="M31" s="10"/>
    </row>
    <row r="43" spans="8:10" ht="19.5" customHeight="1" x14ac:dyDescent="0.2">
      <c r="H43" s="559" t="s">
        <v>155</v>
      </c>
      <c r="I43" s="560"/>
      <c r="J43" s="560"/>
    </row>
  </sheetData>
  <sheetProtection formatCells="0" formatColumns="0" formatRows="0" insertColumns="0" insertRows="0" insertHyperlinks="0" deleteColumns="0" deleteRows="0" pivotTables="0"/>
  <mergeCells count="47">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K24:M30"/>
    <mergeCell ref="B11:J11"/>
    <mergeCell ref="B15:C15"/>
    <mergeCell ref="B16:C16"/>
    <mergeCell ref="B17:C17"/>
    <mergeCell ref="B18:C18"/>
    <mergeCell ref="B19:C19"/>
    <mergeCell ref="B20:C20"/>
    <mergeCell ref="B21:C21"/>
    <mergeCell ref="B23:C23"/>
    <mergeCell ref="B24:C24"/>
    <mergeCell ref="B22:C22"/>
    <mergeCell ref="B26:C26"/>
    <mergeCell ref="B25:C25"/>
    <mergeCell ref="K23:M23"/>
    <mergeCell ref="B14:C14"/>
    <mergeCell ref="H43:J43"/>
    <mergeCell ref="B27:C27"/>
    <mergeCell ref="B28:C28"/>
    <mergeCell ref="B29:C29"/>
    <mergeCell ref="B31:E31"/>
    <mergeCell ref="B8:C8"/>
    <mergeCell ref="D8:E8"/>
    <mergeCell ref="F8:G8"/>
    <mergeCell ref="H8:J8"/>
    <mergeCell ref="D9:E9"/>
    <mergeCell ref="F9:G9"/>
    <mergeCell ref="H9:J9"/>
    <mergeCell ref="B9:C9"/>
  </mergeCells>
  <conditionalFormatting sqref="D15:I25">
    <cfRule type="cellIs" dxfId="0" priority="2" operator="between">
      <formula>0</formula>
      <formula>3.15</formula>
    </cfRule>
  </conditionalFormatting>
  <pageMargins left="0.7" right="0.7" top="0.75" bottom="0.75"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9A983-00A2-4014-860B-A92A53701CF9}">
  <sheetPr>
    <tabColor theme="9" tint="-0.499984740745262"/>
  </sheetPr>
  <dimension ref="B2:M33"/>
  <sheetViews>
    <sheetView showGridLines="0" zoomScaleNormal="100" workbookViewId="0">
      <selection activeCell="B2" sqref="B2:D2"/>
    </sheetView>
  </sheetViews>
  <sheetFormatPr defaultColWidth="9.140625" defaultRowHeight="12.75" x14ac:dyDescent="0.2"/>
  <cols>
    <col min="3" max="3" width="28.140625" customWidth="1"/>
    <col min="4" max="4" width="13.140625" customWidth="1"/>
    <col min="5" max="5" width="19.5703125" customWidth="1"/>
    <col min="6" max="6" width="16.28515625" customWidth="1"/>
    <col min="7" max="7" width="14" customWidth="1"/>
    <col min="8" max="8" width="15.28515625" customWidth="1"/>
    <col min="9" max="9" width="10.28515625" customWidth="1"/>
    <col min="10" max="10" width="16.28515625" customWidth="1"/>
  </cols>
  <sheetData>
    <row r="2" spans="2:10" ht="43.5" customHeight="1" x14ac:dyDescent="0.25">
      <c r="B2" s="588"/>
      <c r="C2" s="589"/>
      <c r="D2" s="565"/>
      <c r="E2" s="590" t="s">
        <v>192</v>
      </c>
      <c r="F2" s="589"/>
      <c r="G2" s="589"/>
      <c r="H2" s="589"/>
      <c r="I2" s="589"/>
      <c r="J2" s="565"/>
    </row>
    <row r="3" spans="2:10" ht="16.5" x14ac:dyDescent="0.25">
      <c r="B3" s="177"/>
      <c r="C3" s="177"/>
      <c r="D3" s="178"/>
      <c r="E3" s="178"/>
      <c r="F3" s="178"/>
      <c r="G3" s="178"/>
      <c r="H3" s="178"/>
      <c r="I3" s="178"/>
      <c r="J3" s="175"/>
    </row>
    <row r="4" spans="2:10" ht="54" customHeight="1" x14ac:dyDescent="0.25">
      <c r="B4" s="561" t="s">
        <v>193</v>
      </c>
      <c r="C4" s="563"/>
      <c r="D4" s="587" t="str">
        <f>Índex!B13</f>
        <v>PE1.02_Ind03</v>
      </c>
      <c r="E4" s="565"/>
      <c r="F4" s="561" t="s">
        <v>194</v>
      </c>
      <c r="G4" s="563"/>
      <c r="H4" s="587" t="str">
        <f>Índex!C13</f>
        <v>Distribució per categories del personal de gestió de qualitat a la Facultat de Ciències.</v>
      </c>
      <c r="I4" s="589"/>
      <c r="J4" s="565"/>
    </row>
    <row r="5" spans="2:10" ht="29.25" customHeight="1" x14ac:dyDescent="0.25">
      <c r="B5" s="561" t="s">
        <v>195</v>
      </c>
      <c r="C5" s="563"/>
      <c r="D5" s="657" t="str">
        <f>Índex!F13</f>
        <v>mínim 2</v>
      </c>
      <c r="E5" s="565"/>
      <c r="F5" s="585" t="s">
        <v>196</v>
      </c>
      <c r="G5" s="563"/>
      <c r="H5" s="654" t="s">
        <v>197</v>
      </c>
      <c r="I5" s="655"/>
      <c r="J5" s="656"/>
    </row>
    <row r="6" spans="2:10" ht="46.5" customHeight="1" x14ac:dyDescent="0.25">
      <c r="B6" s="561" t="s">
        <v>471</v>
      </c>
      <c r="C6" s="582"/>
      <c r="D6" s="583" t="str">
        <f>Índex!H13</f>
        <v>Objectiu de Qualitat. Organització i gestió de recursos</v>
      </c>
      <c r="E6" s="584"/>
      <c r="F6" s="585" t="s">
        <v>462</v>
      </c>
      <c r="G6" s="563"/>
      <c r="H6" s="654"/>
      <c r="I6" s="655"/>
      <c r="J6" s="656"/>
    </row>
    <row r="7" spans="2:10" ht="27" customHeight="1" x14ac:dyDescent="0.25">
      <c r="B7" s="561" t="s">
        <v>463</v>
      </c>
      <c r="C7" s="563"/>
      <c r="D7" s="587"/>
      <c r="E7" s="565"/>
      <c r="F7" s="561" t="s">
        <v>464</v>
      </c>
      <c r="G7" s="562"/>
      <c r="H7" s="579" t="s">
        <v>198</v>
      </c>
      <c r="I7" s="580"/>
      <c r="J7" s="581"/>
    </row>
    <row r="8" spans="2:10" ht="27" customHeight="1" x14ac:dyDescent="0.25">
      <c r="B8" s="561" t="s">
        <v>465</v>
      </c>
      <c r="C8" s="563"/>
      <c r="D8" s="587" t="str">
        <f>Índex!D13</f>
        <v xml:space="preserve"> Vicedegana d'Afers Acadèmics de Grau</v>
      </c>
      <c r="E8" s="565"/>
      <c r="F8" s="561" t="s">
        <v>472</v>
      </c>
      <c r="G8" s="562"/>
      <c r="H8" s="579" t="str">
        <f>Índex!E13</f>
        <v>Administradora de Centre</v>
      </c>
      <c r="I8" s="580"/>
      <c r="J8" s="581"/>
    </row>
    <row r="9" spans="2:10" ht="64.5" customHeight="1" x14ac:dyDescent="0.25">
      <c r="B9" s="561" t="s">
        <v>461</v>
      </c>
      <c r="C9" s="563"/>
      <c r="D9" s="587" t="str">
        <f>Índex!G13</f>
        <v xml:space="preserve"> PE1.02. Definició, Desplegament, Seguiment i Revisió del Sistema de Garantia Interna de Qualitat (SGIQ)</v>
      </c>
      <c r="E9" s="565"/>
      <c r="F9" s="561" t="s">
        <v>467</v>
      </c>
      <c r="G9" s="562"/>
      <c r="H9" s="658"/>
      <c r="I9" s="659"/>
      <c r="J9" s="660"/>
    </row>
    <row r="10" spans="2:10" ht="13.5" x14ac:dyDescent="0.25">
      <c r="B10" s="175"/>
      <c r="C10" s="175"/>
      <c r="D10" s="175"/>
      <c r="E10" s="175"/>
      <c r="F10" s="175"/>
      <c r="G10" s="175"/>
      <c r="H10" s="175"/>
      <c r="I10" s="175"/>
      <c r="J10" s="175"/>
    </row>
    <row r="11" spans="2:10" ht="13.5" x14ac:dyDescent="0.25">
      <c r="B11" s="175"/>
      <c r="C11" s="175"/>
      <c r="D11" s="175"/>
      <c r="E11" s="175"/>
      <c r="F11" s="175"/>
      <c r="G11" s="175"/>
      <c r="H11" s="175"/>
      <c r="I11" s="175"/>
      <c r="J11" s="175"/>
    </row>
    <row r="12" spans="2:10" ht="13.5" x14ac:dyDescent="0.25">
      <c r="B12" s="561" t="s">
        <v>468</v>
      </c>
      <c r="C12" s="562"/>
      <c r="D12" s="562"/>
      <c r="E12" s="562"/>
      <c r="F12" s="562"/>
      <c r="G12" s="562"/>
      <c r="H12" s="562"/>
      <c r="I12" s="562"/>
      <c r="J12" s="563"/>
    </row>
    <row r="13" spans="2:10" ht="13.5" x14ac:dyDescent="0.25">
      <c r="B13" s="175"/>
      <c r="C13" s="175"/>
      <c r="D13" s="175"/>
      <c r="E13" s="175"/>
      <c r="F13" s="175"/>
      <c r="G13" s="175"/>
      <c r="H13" s="175"/>
      <c r="I13" s="175"/>
      <c r="J13" s="175"/>
    </row>
    <row r="14" spans="2:10" ht="14.25" thickBot="1" x14ac:dyDescent="0.3">
      <c r="B14" s="179"/>
      <c r="C14" s="179"/>
      <c r="D14" s="179"/>
      <c r="E14" s="179"/>
      <c r="F14" s="179"/>
      <c r="G14" s="179"/>
      <c r="H14" s="179"/>
      <c r="I14" s="179"/>
      <c r="J14" s="179"/>
    </row>
    <row r="15" spans="2:10" ht="30" customHeight="1" thickBot="1" x14ac:dyDescent="0.3">
      <c r="B15" s="661"/>
      <c r="C15" s="662"/>
      <c r="D15" s="115" t="s">
        <v>201</v>
      </c>
      <c r="E15" s="118" t="s">
        <v>202</v>
      </c>
      <c r="F15" s="232" t="s">
        <v>203</v>
      </c>
      <c r="G15" s="235" t="s">
        <v>204</v>
      </c>
      <c r="H15" s="233" t="s">
        <v>205</v>
      </c>
      <c r="I15" s="233" t="s">
        <v>256</v>
      </c>
      <c r="J15" s="175"/>
    </row>
    <row r="16" spans="2:10" ht="15" thickBot="1" x14ac:dyDescent="0.3">
      <c r="B16" s="649" t="s">
        <v>206</v>
      </c>
      <c r="C16" s="650"/>
      <c r="D16" s="116">
        <v>1</v>
      </c>
      <c r="E16" s="116">
        <v>1</v>
      </c>
      <c r="F16" s="119">
        <v>1</v>
      </c>
      <c r="G16" s="234">
        <v>2</v>
      </c>
      <c r="H16" s="234">
        <v>2</v>
      </c>
      <c r="I16" s="234">
        <v>1.5</v>
      </c>
      <c r="J16" s="175"/>
    </row>
    <row r="17" spans="2:13" ht="15" thickBot="1" x14ac:dyDescent="0.3">
      <c r="B17" s="649" t="s">
        <v>5</v>
      </c>
      <c r="C17" s="650"/>
      <c r="D17" s="117">
        <v>2</v>
      </c>
      <c r="E17" s="117">
        <v>2</v>
      </c>
      <c r="F17" s="120">
        <v>2</v>
      </c>
      <c r="G17" s="234">
        <v>2</v>
      </c>
      <c r="H17" s="234">
        <v>2</v>
      </c>
      <c r="I17" s="234">
        <v>2</v>
      </c>
      <c r="J17" s="179"/>
    </row>
    <row r="18" spans="2:13" ht="15" thickBot="1" x14ac:dyDescent="0.3">
      <c r="B18" s="649" t="s">
        <v>215</v>
      </c>
      <c r="C18" s="650"/>
      <c r="D18" s="292">
        <f t="shared" ref="D18:I18" si="0">D16/D17</f>
        <v>0.5</v>
      </c>
      <c r="E18" s="292">
        <f t="shared" si="0"/>
        <v>0.5</v>
      </c>
      <c r="F18" s="292">
        <f t="shared" si="0"/>
        <v>0.5</v>
      </c>
      <c r="G18" s="292">
        <f t="shared" si="0"/>
        <v>1</v>
      </c>
      <c r="H18" s="292">
        <f t="shared" si="0"/>
        <v>1</v>
      </c>
      <c r="I18" s="292">
        <f t="shared" si="0"/>
        <v>0.75</v>
      </c>
      <c r="J18" s="175"/>
    </row>
    <row r="22" spans="2:13" x14ac:dyDescent="0.2">
      <c r="B22" s="567" t="s">
        <v>469</v>
      </c>
      <c r="C22" s="568"/>
      <c r="D22" s="568"/>
      <c r="E22" s="569"/>
    </row>
    <row r="23" spans="2:13" x14ac:dyDescent="0.2">
      <c r="J23" s="633" t="s">
        <v>470</v>
      </c>
      <c r="K23" s="634"/>
      <c r="L23" s="634"/>
      <c r="M23" s="635"/>
    </row>
    <row r="24" spans="2:13" x14ac:dyDescent="0.2">
      <c r="J24" s="640" t="s">
        <v>155</v>
      </c>
      <c r="K24" s="641"/>
      <c r="L24" s="641"/>
      <c r="M24" s="642"/>
    </row>
    <row r="25" spans="2:13" x14ac:dyDescent="0.2">
      <c r="J25" s="643"/>
      <c r="K25" s="644"/>
      <c r="L25" s="644"/>
      <c r="M25" s="645"/>
    </row>
    <row r="26" spans="2:13" x14ac:dyDescent="0.2">
      <c r="J26" s="643"/>
      <c r="K26" s="644"/>
      <c r="L26" s="644"/>
      <c r="M26" s="645"/>
    </row>
    <row r="27" spans="2:13" x14ac:dyDescent="0.2">
      <c r="J27" s="643"/>
      <c r="K27" s="644"/>
      <c r="L27" s="644"/>
      <c r="M27" s="645"/>
    </row>
    <row r="28" spans="2:13" x14ac:dyDescent="0.2">
      <c r="J28" s="643"/>
      <c r="K28" s="644"/>
      <c r="L28" s="644"/>
      <c r="M28" s="645"/>
    </row>
    <row r="29" spans="2:13" x14ac:dyDescent="0.2">
      <c r="J29" s="643"/>
      <c r="K29" s="644"/>
      <c r="L29" s="644"/>
      <c r="M29" s="645"/>
    </row>
    <row r="30" spans="2:13" x14ac:dyDescent="0.2">
      <c r="J30" s="643"/>
      <c r="K30" s="644"/>
      <c r="L30" s="644"/>
      <c r="M30" s="645"/>
    </row>
    <row r="31" spans="2:13" x14ac:dyDescent="0.2">
      <c r="J31" s="643"/>
      <c r="K31" s="644"/>
      <c r="L31" s="644"/>
      <c r="M31" s="645"/>
    </row>
    <row r="32" spans="2:13" x14ac:dyDescent="0.2">
      <c r="J32" s="643"/>
      <c r="K32" s="644"/>
      <c r="L32" s="644"/>
      <c r="M32" s="645"/>
    </row>
    <row r="33" spans="10:13" x14ac:dyDescent="0.2">
      <c r="J33" s="646"/>
      <c r="K33" s="647"/>
      <c r="L33" s="647"/>
      <c r="M33" s="648"/>
    </row>
  </sheetData>
  <sheetProtection formatCells="0" formatColumns="0" formatRows="0" insertColumns="0" insertRows="0" insertHyperlinks="0" deleteColumns="0" deleteRows="0" pivotTables="0"/>
  <mergeCells count="34">
    <mergeCell ref="J23:M23"/>
    <mergeCell ref="J24:M33"/>
    <mergeCell ref="B6:C6"/>
    <mergeCell ref="D6:E6"/>
    <mergeCell ref="F6:G6"/>
    <mergeCell ref="H6:J6"/>
    <mergeCell ref="B8:C8"/>
    <mergeCell ref="D8:E8"/>
    <mergeCell ref="F8:G8"/>
    <mergeCell ref="H7:J7"/>
    <mergeCell ref="H8:J8"/>
    <mergeCell ref="D9:E9"/>
    <mergeCell ref="F9:G9"/>
    <mergeCell ref="H9:J9"/>
    <mergeCell ref="B15:C15"/>
    <mergeCell ref="B22:E22"/>
    <mergeCell ref="B2:D2"/>
    <mergeCell ref="E2:J2"/>
    <mergeCell ref="B4:C4"/>
    <mergeCell ref="D4:E4"/>
    <mergeCell ref="F4:G4"/>
    <mergeCell ref="H4:J4"/>
    <mergeCell ref="B5:C5"/>
    <mergeCell ref="D5:E5"/>
    <mergeCell ref="F5:G5"/>
    <mergeCell ref="H5:J5"/>
    <mergeCell ref="B7:C7"/>
    <mergeCell ref="D7:E7"/>
    <mergeCell ref="F7:G7"/>
    <mergeCell ref="B9:C9"/>
    <mergeCell ref="B12:J12"/>
    <mergeCell ref="B16:C16"/>
    <mergeCell ref="B17:C17"/>
    <mergeCell ref="B18:C1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5576-F02D-4FEE-83B5-DC3EA7779A2C}">
  <sheetPr>
    <tabColor theme="9" tint="-0.499984740745262"/>
    <pageSetUpPr fitToPage="1"/>
  </sheetPr>
  <dimension ref="B2:V70"/>
  <sheetViews>
    <sheetView showGridLines="0" zoomScale="80" zoomScaleNormal="80" workbookViewId="0">
      <selection activeCell="H9" sqref="H9:J9"/>
    </sheetView>
  </sheetViews>
  <sheetFormatPr defaultColWidth="12.5703125" defaultRowHeight="15.75" customHeight="1" x14ac:dyDescent="0.2"/>
  <cols>
    <col min="1" max="1" width="3.42578125" customWidth="1"/>
    <col min="2" max="2" width="14.140625" customWidth="1"/>
    <col min="3" max="3" width="25.28515625" customWidth="1"/>
    <col min="4" max="4" width="29.7109375" customWidth="1"/>
    <col min="5" max="5" width="21.28515625" customWidth="1"/>
    <col min="6" max="6" width="12.5703125" customWidth="1"/>
    <col min="7" max="7" width="18.140625" customWidth="1"/>
    <col min="8" max="9" width="12.5703125" customWidth="1"/>
    <col min="10" max="10" width="10.7109375" bestFit="1" customWidth="1"/>
    <col min="11" max="13" width="8.85546875" customWidth="1"/>
    <col min="14" max="23" width="7.5703125" customWidth="1"/>
  </cols>
  <sheetData>
    <row r="2" spans="2:22" ht="55.5" customHeight="1" x14ac:dyDescent="0.25">
      <c r="B2" s="588"/>
      <c r="C2" s="589"/>
      <c r="D2" s="565"/>
      <c r="E2" s="590" t="s">
        <v>192</v>
      </c>
      <c r="F2" s="589"/>
      <c r="G2" s="589"/>
      <c r="H2" s="589"/>
      <c r="I2" s="589"/>
      <c r="J2" s="565"/>
      <c r="K2" s="3"/>
      <c r="L2" s="3"/>
      <c r="M2" s="3"/>
    </row>
    <row r="3" spans="2:22" ht="22.5" customHeight="1" x14ac:dyDescent="0.25">
      <c r="B3" s="177"/>
      <c r="C3" s="177"/>
      <c r="D3" s="178"/>
      <c r="E3" s="178"/>
      <c r="F3" s="178"/>
      <c r="G3" s="178"/>
      <c r="H3" s="178"/>
      <c r="I3" s="178"/>
      <c r="J3" s="175"/>
    </row>
    <row r="4" spans="2:22" ht="42" customHeight="1" x14ac:dyDescent="0.25">
      <c r="B4" s="561" t="s">
        <v>193</v>
      </c>
      <c r="C4" s="563"/>
      <c r="D4" s="587" t="str">
        <f>Índex!B14</f>
        <v>PE1.03_Ind01.</v>
      </c>
      <c r="E4" s="565"/>
      <c r="F4" s="561" t="s">
        <v>194</v>
      </c>
      <c r="G4" s="563"/>
      <c r="H4" s="587" t="str">
        <f>Índex!C14</f>
        <v>Ràtio de places en primera opció versus places ofertades, per curs acadèmic i titulació</v>
      </c>
      <c r="I4" s="589"/>
      <c r="J4" s="565"/>
    </row>
    <row r="5" spans="2:22" ht="22.5" customHeight="1" x14ac:dyDescent="0.25">
      <c r="B5" s="561" t="s">
        <v>195</v>
      </c>
      <c r="C5" s="563"/>
      <c r="D5" s="668" t="str">
        <f>Índex!F14</f>
        <v>≥ 0.8</v>
      </c>
      <c r="E5" s="669"/>
      <c r="F5" s="585" t="s">
        <v>196</v>
      </c>
      <c r="G5" s="563"/>
      <c r="H5" s="592" t="s">
        <v>216</v>
      </c>
      <c r="I5" s="593"/>
      <c r="J5" s="594"/>
    </row>
    <row r="6" spans="2:22" ht="44.25" customHeight="1" x14ac:dyDescent="0.25">
      <c r="B6" s="561" t="s">
        <v>480</v>
      </c>
      <c r="C6" s="582"/>
      <c r="D6" s="607" t="str">
        <f>Índex!H14</f>
        <v xml:space="preserve"> Objectiu de Qualitat. Qualitat dels programes formatius</v>
      </c>
      <c r="E6" s="609"/>
      <c r="F6" s="585" t="s">
        <v>462</v>
      </c>
      <c r="G6" s="563"/>
      <c r="H6" s="592"/>
      <c r="I6" s="593"/>
      <c r="J6" s="594"/>
    </row>
    <row r="7" spans="2:22" ht="48.75" customHeight="1" x14ac:dyDescent="0.25">
      <c r="B7" s="561" t="s">
        <v>463</v>
      </c>
      <c r="C7" s="563"/>
      <c r="D7" s="683" t="s">
        <v>483</v>
      </c>
      <c r="E7" s="684"/>
      <c r="F7" s="585" t="s">
        <v>464</v>
      </c>
      <c r="G7" s="563"/>
      <c r="H7" s="592" t="s">
        <v>198</v>
      </c>
      <c r="I7" s="593"/>
      <c r="J7" s="594"/>
    </row>
    <row r="8" spans="2:22" ht="35.25" customHeight="1" x14ac:dyDescent="0.25">
      <c r="B8" s="561" t="s">
        <v>465</v>
      </c>
      <c r="C8" s="582"/>
      <c r="D8" s="607" t="str">
        <f>Índex!D14</f>
        <v>Vicedegà d’Economia i Afers Acadèmics de Postgrau</v>
      </c>
      <c r="E8" s="609"/>
      <c r="F8" s="585" t="s">
        <v>472</v>
      </c>
      <c r="G8" s="563"/>
      <c r="H8" s="592" t="str">
        <f>Índex!E14</f>
        <v>Gestora de Qualitat</v>
      </c>
      <c r="I8" s="593"/>
      <c r="J8" s="594"/>
    </row>
    <row r="9" spans="2:22" ht="66.75" customHeight="1" x14ac:dyDescent="0.25">
      <c r="B9" s="561" t="s">
        <v>461</v>
      </c>
      <c r="C9" s="563"/>
      <c r="D9" s="587" t="str">
        <f>Índex!G14</f>
        <v>PE1.03. Creació,  Disseny i Extinció de Titulacions. Mapa de Titulacions</v>
      </c>
      <c r="E9" s="565"/>
      <c r="F9" s="585" t="s">
        <v>467</v>
      </c>
      <c r="G9" s="563"/>
      <c r="H9" s="685" t="s">
        <v>482</v>
      </c>
      <c r="I9" s="686"/>
      <c r="J9" s="687"/>
      <c r="K9" s="4"/>
    </row>
    <row r="10" spans="2:22" ht="34.5" customHeight="1" x14ac:dyDescent="0.25">
      <c r="B10" s="301"/>
      <c r="C10" s="186"/>
      <c r="D10" s="76"/>
      <c r="E10" s="186"/>
      <c r="F10" s="302"/>
      <c r="G10" s="186"/>
      <c r="H10" s="303"/>
      <c r="I10" s="179"/>
      <c r="J10" s="179"/>
      <c r="K10" s="4"/>
    </row>
    <row r="11" spans="2:22" ht="21" customHeight="1" x14ac:dyDescent="0.25">
      <c r="B11" s="175"/>
      <c r="C11" s="175"/>
      <c r="D11" s="175"/>
      <c r="E11" s="175"/>
      <c r="F11" s="175"/>
      <c r="G11" s="175"/>
      <c r="H11" s="175"/>
      <c r="I11" s="175"/>
      <c r="J11" s="175"/>
    </row>
    <row r="12" spans="2:22" ht="22.5" customHeight="1" x14ac:dyDescent="0.25">
      <c r="B12" s="561" t="s">
        <v>199</v>
      </c>
      <c r="C12" s="562"/>
      <c r="D12" s="562"/>
      <c r="E12" s="562"/>
      <c r="F12" s="562"/>
      <c r="G12" s="562"/>
      <c r="H12" s="562"/>
      <c r="I12" s="562"/>
      <c r="J12" s="563"/>
      <c r="K12" s="5"/>
    </row>
    <row r="13" spans="2:22" ht="13.5" x14ac:dyDescent="0.25">
      <c r="B13" s="189"/>
      <c r="C13" s="186"/>
      <c r="D13" s="186"/>
      <c r="E13" s="186"/>
      <c r="F13" s="186"/>
      <c r="G13" s="186"/>
      <c r="H13" s="186"/>
      <c r="I13" s="186"/>
      <c r="J13" s="186"/>
    </row>
    <row r="14" spans="2:22" ht="22.5" customHeight="1" x14ac:dyDescent="0.25">
      <c r="B14" s="175"/>
      <c r="C14" s="175"/>
      <c r="D14" s="175"/>
      <c r="E14" s="175"/>
      <c r="F14" s="175"/>
      <c r="G14" s="175"/>
      <c r="H14" s="175"/>
      <c r="I14" s="175"/>
      <c r="J14" s="175"/>
    </row>
    <row r="15" spans="2:22" ht="22.5" customHeight="1" x14ac:dyDescent="0.2">
      <c r="B15" s="680" t="s">
        <v>217</v>
      </c>
      <c r="C15" s="681"/>
      <c r="D15" s="85" t="s">
        <v>200</v>
      </c>
      <c r="E15" s="85" t="s">
        <v>201</v>
      </c>
      <c r="F15" s="85" t="s">
        <v>202</v>
      </c>
      <c r="G15" s="85" t="s">
        <v>203</v>
      </c>
      <c r="H15" s="85" t="s">
        <v>204</v>
      </c>
      <c r="I15" s="85" t="s">
        <v>205</v>
      </c>
      <c r="J15" s="85" t="s">
        <v>256</v>
      </c>
      <c r="S15" s="633" t="s">
        <v>470</v>
      </c>
      <c r="T15" s="663"/>
      <c r="U15" s="663"/>
      <c r="V15" s="664"/>
    </row>
    <row r="16" spans="2:22" ht="22.5" customHeight="1" x14ac:dyDescent="0.2">
      <c r="B16" s="665" t="s">
        <v>218</v>
      </c>
      <c r="C16" s="666"/>
      <c r="D16" s="77">
        <v>0.7</v>
      </c>
      <c r="E16" s="77">
        <v>1.2</v>
      </c>
      <c r="F16" s="77">
        <v>1</v>
      </c>
      <c r="G16" s="77">
        <v>0.9</v>
      </c>
      <c r="H16" s="77">
        <v>0.8</v>
      </c>
      <c r="I16" s="77">
        <v>0.5</v>
      </c>
      <c r="J16" s="77">
        <v>0.9</v>
      </c>
      <c r="S16" s="667" t="s">
        <v>155</v>
      </c>
      <c r="T16" s="667"/>
      <c r="U16" s="667"/>
      <c r="V16" s="667"/>
    </row>
    <row r="17" spans="2:22" ht="43.5" customHeight="1" x14ac:dyDescent="0.2">
      <c r="B17" s="665" t="s">
        <v>219</v>
      </c>
      <c r="C17" s="666"/>
      <c r="D17" s="77">
        <v>1.2</v>
      </c>
      <c r="E17" s="77">
        <v>1.1000000000000001</v>
      </c>
      <c r="F17" s="77">
        <v>1</v>
      </c>
      <c r="G17" s="77">
        <v>1.2</v>
      </c>
      <c r="H17" s="77">
        <v>0.8</v>
      </c>
      <c r="I17" s="77">
        <v>1.3</v>
      </c>
      <c r="J17" s="77">
        <v>0.9</v>
      </c>
      <c r="S17" s="667"/>
      <c r="T17" s="667"/>
      <c r="U17" s="667"/>
      <c r="V17" s="667"/>
    </row>
    <row r="18" spans="2:22" ht="29.25" customHeight="1" x14ac:dyDescent="0.2">
      <c r="B18" s="665" t="s">
        <v>220</v>
      </c>
      <c r="C18" s="666"/>
      <c r="D18" s="77">
        <v>0.7</v>
      </c>
      <c r="E18" s="77">
        <v>0.7</v>
      </c>
      <c r="F18" s="77">
        <v>0.8</v>
      </c>
      <c r="G18" s="77">
        <v>1.6</v>
      </c>
      <c r="H18" s="77">
        <v>1.1000000000000001</v>
      </c>
      <c r="I18" s="77">
        <v>1.1000000000000001</v>
      </c>
      <c r="J18" s="77">
        <v>1.3</v>
      </c>
      <c r="S18" s="667"/>
      <c r="T18" s="667"/>
      <c r="U18" s="667"/>
      <c r="V18" s="667"/>
    </row>
    <row r="19" spans="2:22" ht="24.75" customHeight="1" x14ac:dyDescent="0.2">
      <c r="B19" s="665" t="s">
        <v>221</v>
      </c>
      <c r="C19" s="666"/>
      <c r="D19" s="77">
        <v>1.8</v>
      </c>
      <c r="E19" s="77">
        <v>2.2000000000000002</v>
      </c>
      <c r="F19" s="77">
        <v>2.1</v>
      </c>
      <c r="G19" s="77">
        <v>2.4</v>
      </c>
      <c r="H19" s="77">
        <v>2.2000000000000002</v>
      </c>
      <c r="I19" s="77">
        <v>2.2999999999999998</v>
      </c>
      <c r="J19" s="77">
        <v>1.8</v>
      </c>
      <c r="S19" s="667"/>
      <c r="T19" s="667"/>
      <c r="U19" s="667"/>
      <c r="V19" s="667"/>
    </row>
    <row r="20" spans="2:22" ht="29.25" customHeight="1" x14ac:dyDescent="0.2">
      <c r="B20" s="665" t="s">
        <v>222</v>
      </c>
      <c r="C20" s="666"/>
      <c r="D20" s="77">
        <v>5.9</v>
      </c>
      <c r="E20" s="77">
        <v>4.7</v>
      </c>
      <c r="F20" s="77">
        <v>4</v>
      </c>
      <c r="G20" s="77">
        <v>5</v>
      </c>
      <c r="H20" s="77">
        <v>5.2</v>
      </c>
      <c r="I20" s="77">
        <v>3.6</v>
      </c>
      <c r="J20" s="77">
        <v>3.5</v>
      </c>
      <c r="S20" s="667"/>
      <c r="T20" s="667"/>
      <c r="U20" s="667"/>
      <c r="V20" s="667"/>
    </row>
    <row r="21" spans="2:22" ht="29.25" customHeight="1" x14ac:dyDescent="0.2">
      <c r="B21" s="665" t="s">
        <v>223</v>
      </c>
      <c r="C21" s="666"/>
      <c r="D21" s="77">
        <v>1.9</v>
      </c>
      <c r="E21" s="77">
        <v>1.8</v>
      </c>
      <c r="F21" s="77">
        <v>1.9</v>
      </c>
      <c r="G21" s="77">
        <v>1.9</v>
      </c>
      <c r="H21" s="77">
        <v>2</v>
      </c>
      <c r="I21" s="77">
        <v>1.5</v>
      </c>
      <c r="J21" s="77">
        <v>1.4</v>
      </c>
      <c r="S21" s="667"/>
      <c r="T21" s="667"/>
      <c r="U21" s="667"/>
      <c r="V21" s="667"/>
    </row>
    <row r="22" spans="2:22" ht="22.5" customHeight="1" x14ac:dyDescent="0.2">
      <c r="B22" s="665" t="s">
        <v>224</v>
      </c>
      <c r="C22" s="666"/>
      <c r="D22" s="77">
        <v>0.4</v>
      </c>
      <c r="E22" s="77">
        <v>0.4</v>
      </c>
      <c r="F22" s="77">
        <v>0.4</v>
      </c>
      <c r="G22" s="101">
        <v>0.5</v>
      </c>
      <c r="H22" s="101">
        <v>0.5</v>
      </c>
      <c r="I22" s="101">
        <v>0.4</v>
      </c>
      <c r="J22" s="101">
        <v>0.7</v>
      </c>
      <c r="S22" s="667"/>
      <c r="T22" s="667"/>
      <c r="U22" s="667"/>
      <c r="V22" s="667"/>
    </row>
    <row r="23" spans="2:22" ht="57.75" customHeight="1" x14ac:dyDescent="0.2">
      <c r="B23" s="665" t="s">
        <v>225</v>
      </c>
      <c r="C23" s="666"/>
      <c r="D23" s="77" t="s">
        <v>214</v>
      </c>
      <c r="E23" s="77">
        <v>1</v>
      </c>
      <c r="F23" s="77">
        <v>1.3</v>
      </c>
      <c r="G23" s="77">
        <v>1.4</v>
      </c>
      <c r="H23" s="77">
        <v>1.3</v>
      </c>
      <c r="I23" s="77">
        <v>0.9</v>
      </c>
      <c r="J23" s="77">
        <v>1</v>
      </c>
      <c r="S23" s="667"/>
      <c r="T23" s="667"/>
      <c r="U23" s="667"/>
      <c r="V23" s="667"/>
    </row>
    <row r="24" spans="2:22" ht="22.5" customHeight="1" x14ac:dyDescent="0.2">
      <c r="B24" s="665" t="s">
        <v>226</v>
      </c>
      <c r="C24" s="666"/>
      <c r="D24" s="77">
        <v>1</v>
      </c>
      <c r="E24" s="77">
        <v>1.2</v>
      </c>
      <c r="F24" s="77">
        <v>1.2</v>
      </c>
      <c r="G24" s="77">
        <v>2</v>
      </c>
      <c r="H24" s="77">
        <v>1.7</v>
      </c>
      <c r="I24" s="77">
        <v>1.4</v>
      </c>
      <c r="J24" s="77">
        <v>1.3</v>
      </c>
      <c r="S24" s="667"/>
      <c r="T24" s="667"/>
      <c r="U24" s="667"/>
      <c r="V24" s="667"/>
    </row>
    <row r="25" spans="2:22" ht="43.5" customHeight="1" x14ac:dyDescent="0.2">
      <c r="B25" s="665" t="s">
        <v>227</v>
      </c>
      <c r="C25" s="666"/>
      <c r="D25" s="77">
        <v>1.3</v>
      </c>
      <c r="E25" s="77">
        <v>1</v>
      </c>
      <c r="F25" s="77">
        <v>1.1000000000000001</v>
      </c>
      <c r="G25" s="77">
        <v>1.1000000000000001</v>
      </c>
      <c r="H25" s="77">
        <v>1.2</v>
      </c>
      <c r="I25" s="77">
        <v>1.2</v>
      </c>
      <c r="J25" s="77">
        <v>1</v>
      </c>
      <c r="S25" s="667"/>
      <c r="T25" s="667"/>
      <c r="U25" s="667"/>
      <c r="V25" s="667"/>
    </row>
    <row r="26" spans="2:22" ht="22.5" customHeight="1" x14ac:dyDescent="0.2">
      <c r="B26" s="682" t="s">
        <v>228</v>
      </c>
      <c r="C26" s="682"/>
      <c r="D26" s="77">
        <v>1</v>
      </c>
      <c r="E26" s="77">
        <v>1</v>
      </c>
      <c r="F26" s="77">
        <v>1.1000000000000001</v>
      </c>
      <c r="G26" s="77">
        <v>0.9</v>
      </c>
      <c r="H26" s="77">
        <v>1.1000000000000001</v>
      </c>
      <c r="I26" s="77">
        <v>1</v>
      </c>
      <c r="J26" s="77">
        <v>0.9</v>
      </c>
    </row>
    <row r="27" spans="2:22" ht="22.5" customHeight="1" x14ac:dyDescent="0.25">
      <c r="B27" s="678" t="s">
        <v>229</v>
      </c>
      <c r="C27" s="679"/>
      <c r="D27" s="128">
        <v>0.8</v>
      </c>
      <c r="E27" s="128">
        <v>0.8</v>
      </c>
      <c r="F27" s="128">
        <v>0.8</v>
      </c>
      <c r="G27" s="128">
        <v>0.8</v>
      </c>
      <c r="H27" s="128">
        <v>0.8</v>
      </c>
      <c r="I27" s="128">
        <v>0.8</v>
      </c>
      <c r="J27" s="128">
        <v>0.8</v>
      </c>
    </row>
    <row r="28" spans="2:22" ht="22.5" customHeight="1" x14ac:dyDescent="0.2">
      <c r="B28" s="672" t="s">
        <v>230</v>
      </c>
      <c r="C28" s="673"/>
      <c r="D28" s="194">
        <f t="shared" ref="D28:I28" si="0">COUNTIF(D16:D26,"&gt;=0,8")</f>
        <v>7</v>
      </c>
      <c r="E28" s="194">
        <f t="shared" si="0"/>
        <v>9</v>
      </c>
      <c r="F28" s="194">
        <f t="shared" si="0"/>
        <v>10</v>
      </c>
      <c r="G28" s="194">
        <f t="shared" si="0"/>
        <v>10</v>
      </c>
      <c r="H28" s="194">
        <f t="shared" si="0"/>
        <v>10</v>
      </c>
      <c r="I28" s="194">
        <f t="shared" si="0"/>
        <v>9</v>
      </c>
      <c r="J28" s="194">
        <f>COUNTIF(J16:J26,"&gt;="&amp;J27)</f>
        <v>10</v>
      </c>
    </row>
    <row r="29" spans="2:22" ht="22.5" customHeight="1" x14ac:dyDescent="0.2">
      <c r="B29" s="670" t="s">
        <v>231</v>
      </c>
      <c r="C29" s="671"/>
      <c r="D29" s="194">
        <f t="shared" ref="D29:J29" si="1">COUNT(D16:D26)</f>
        <v>10</v>
      </c>
      <c r="E29" s="194">
        <f t="shared" si="1"/>
        <v>11</v>
      </c>
      <c r="F29" s="194">
        <f t="shared" si="1"/>
        <v>11</v>
      </c>
      <c r="G29" s="194">
        <f t="shared" si="1"/>
        <v>11</v>
      </c>
      <c r="H29" s="194">
        <f t="shared" si="1"/>
        <v>11</v>
      </c>
      <c r="I29" s="194">
        <f t="shared" si="1"/>
        <v>11</v>
      </c>
      <c r="J29" s="194">
        <f t="shared" si="1"/>
        <v>11</v>
      </c>
    </row>
    <row r="30" spans="2:22" ht="22.5" customHeight="1" x14ac:dyDescent="0.25">
      <c r="B30" s="676" t="s">
        <v>208</v>
      </c>
      <c r="C30" s="677"/>
      <c r="D30" s="87">
        <f t="shared" ref="D30:J30" si="2">(D28/D29)</f>
        <v>0.7</v>
      </c>
      <c r="E30" s="54">
        <f t="shared" si="2"/>
        <v>0.81818181818181823</v>
      </c>
      <c r="F30" s="54">
        <f t="shared" si="2"/>
        <v>0.90909090909090906</v>
      </c>
      <c r="G30" s="54">
        <f t="shared" si="2"/>
        <v>0.90909090909090906</v>
      </c>
      <c r="H30" s="54">
        <f t="shared" si="2"/>
        <v>0.90909090909090906</v>
      </c>
      <c r="I30" s="54">
        <f t="shared" si="2"/>
        <v>0.81818181818181823</v>
      </c>
      <c r="J30" s="54">
        <f t="shared" si="2"/>
        <v>0.90909090909090906</v>
      </c>
    </row>
    <row r="31" spans="2:22" ht="22.5" customHeight="1" x14ac:dyDescent="0.3">
      <c r="B31" s="184"/>
      <c r="C31" s="184"/>
      <c r="D31" s="179"/>
      <c r="E31" s="179"/>
      <c r="F31" s="179"/>
      <c r="G31" s="179"/>
      <c r="H31" s="179"/>
      <c r="I31" s="179"/>
      <c r="J31" s="179"/>
    </row>
    <row r="32" spans="2:22" ht="22.5" customHeight="1" x14ac:dyDescent="0.2">
      <c r="B32" s="674" t="s">
        <v>209</v>
      </c>
      <c r="C32" s="675"/>
      <c r="D32" s="675"/>
      <c r="E32" s="675"/>
      <c r="F32" s="675"/>
      <c r="G32" s="675"/>
      <c r="H32" s="675"/>
      <c r="I32" s="675"/>
      <c r="J32" s="675"/>
    </row>
    <row r="44" spans="8:10" ht="19.5" customHeight="1" x14ac:dyDescent="0.2">
      <c r="H44" s="559" t="s">
        <v>155</v>
      </c>
      <c r="I44" s="560"/>
      <c r="J44" s="560"/>
    </row>
    <row r="70" ht="24" customHeight="1" x14ac:dyDescent="0.2"/>
  </sheetData>
  <sheetProtection formatCells="0" formatColumns="0" formatRows="0" insertColumns="0" insertRows="0" insertHyperlinks="0" deleteColumns="0" deleteRows="0" pivotTables="0"/>
  <mergeCells count="47">
    <mergeCell ref="H6:J6"/>
    <mergeCell ref="H7:J7"/>
    <mergeCell ref="D8:E8"/>
    <mergeCell ref="H8:J8"/>
    <mergeCell ref="D9:E9"/>
    <mergeCell ref="F9:G9"/>
    <mergeCell ref="H9:J9"/>
    <mergeCell ref="B26:C26"/>
    <mergeCell ref="F8:G8"/>
    <mergeCell ref="B6:C6"/>
    <mergeCell ref="D6:E6"/>
    <mergeCell ref="F6:G6"/>
    <mergeCell ref="B8:C8"/>
    <mergeCell ref="B7:C7"/>
    <mergeCell ref="F7:G7"/>
    <mergeCell ref="D7:E7"/>
    <mergeCell ref="B23:C23"/>
    <mergeCell ref="B24:C24"/>
    <mergeCell ref="B25:C25"/>
    <mergeCell ref="B5:C5"/>
    <mergeCell ref="D5:E5"/>
    <mergeCell ref="F5:G5"/>
    <mergeCell ref="H5:J5"/>
    <mergeCell ref="H44:J44"/>
    <mergeCell ref="B29:C29"/>
    <mergeCell ref="B28:C28"/>
    <mergeCell ref="B32:J32"/>
    <mergeCell ref="B30:C30"/>
    <mergeCell ref="B27:C27"/>
    <mergeCell ref="B15:C15"/>
    <mergeCell ref="B22:C22"/>
    <mergeCell ref="B21:C21"/>
    <mergeCell ref="B20:C20"/>
    <mergeCell ref="B19:C19"/>
    <mergeCell ref="B18:C18"/>
    <mergeCell ref="B2:D2"/>
    <mergeCell ref="E2:J2"/>
    <mergeCell ref="B4:C4"/>
    <mergeCell ref="D4:E4"/>
    <mergeCell ref="F4:G4"/>
    <mergeCell ref="H4:J4"/>
    <mergeCell ref="S15:V15"/>
    <mergeCell ref="B16:C16"/>
    <mergeCell ref="B12:J12"/>
    <mergeCell ref="B9:C9"/>
    <mergeCell ref="B17:C17"/>
    <mergeCell ref="S16:V25"/>
  </mergeCells>
  <phoneticPr fontId="25" type="noConversion"/>
  <conditionalFormatting sqref="D16:J26">
    <cfRule type="cellIs" dxfId="51" priority="1" operator="between">
      <formula>0</formula>
      <formula>0.71</formula>
    </cfRule>
  </conditionalFormatting>
  <pageMargins left="0.7" right="0.7" top="0.75" bottom="0.75" header="0" footer="0"/>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E531AB52E0FB40A6634DAC2D5B373D" ma:contentTypeVersion="13" ma:contentTypeDescription="Crea un document nou" ma:contentTypeScope="" ma:versionID="cb882e607e65a1ec3964ee2ca3621c0c">
  <xsd:schema xmlns:xsd="http://www.w3.org/2001/XMLSchema" xmlns:xs="http://www.w3.org/2001/XMLSchema" xmlns:p="http://schemas.microsoft.com/office/2006/metadata/properties" xmlns:ns2="010129b1-be29-498c-9e07-dbfdb8932fef" xmlns:ns3="38633fc6-6824-4779-96fc-75d94a1a155d" targetNamespace="http://schemas.microsoft.com/office/2006/metadata/properties" ma:root="true" ma:fieldsID="5f5df05808fcedd02d0db9dc4514069f" ns2:_="" ns3:_="">
    <xsd:import namespace="010129b1-be29-498c-9e07-dbfdb8932fef"/>
    <xsd:import namespace="38633fc6-6824-4779-96fc-75d94a1a155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3:MediaServiceObjectDetectorVersions" minOccurs="0"/>
                <xsd:element ref="ns3:MediaServiceOCR" minOccurs="0"/>
                <xsd:element ref="ns3:MediaServiceGenerationTime" minOccurs="0"/>
                <xsd:element ref="ns3:MediaServiceEventHashCode" minOccurs="0"/>
                <xsd:element ref="ns3:MediaServiceSearchProperties" minOccurs="0"/>
                <xsd:element ref="ns3:hora" minOccurs="0"/>
                <xsd:element ref="ns3:Person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129b1-be29-498c-9e07-dbfdb8932fef" elementFormDefault="qualified">
    <xsd:import namespace="http://schemas.microsoft.com/office/2006/documentManagement/types"/>
    <xsd:import namespace="http://schemas.microsoft.com/office/infopath/2007/PartnerControls"/>
    <xsd:element name="SharedWithUsers" ma:index="8" nillable="true" ma:displayName="Compartit amb"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 compartit amb detal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8633fc6-6824-4779-96fc-75d94a1a155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es de la imatge" ma:readOnly="false" ma:fieldId="{5cf76f15-5ced-4ddc-b409-7134ff3c332f}" ma:taxonomyMulti="true" ma:sspId="34c01127-bdf0-454e-9077-a20ba63b60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hora" ma:index="19" nillable="true" ma:displayName="hora" ma:format="DateOnly" ma:internalName="hora">
      <xsd:simpleType>
        <xsd:restriction base="dms:DateTime"/>
      </xsd:simpleType>
    </xsd:element>
    <xsd:element name="Persona" ma:index="20" nillable="true" ma:displayName="Persona" ma:format="Dropdown" ma:list="UserInfo" ma:SharePointGroup="0" ma:internalName="Person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us de contingut"/>
        <xsd:element ref="dc:title" minOccurs="0" maxOccurs="1" ma:index="4" ma:displayName="Títo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010129b1-be29-498c-9e07-dbfdb8932fef">
      <UserInfo>
        <DisplayName>Sara Bertobillo Cunill</DisplayName>
        <AccountId>27</AccountId>
        <AccountType/>
      </UserInfo>
    </SharedWithUsers>
    <lcf76f155ced4ddcb4097134ff3c332f xmlns="38633fc6-6824-4779-96fc-75d94a1a155d">
      <Terms xmlns="http://schemas.microsoft.com/office/infopath/2007/PartnerControls"/>
    </lcf76f155ced4ddcb4097134ff3c332f>
    <hora xmlns="38633fc6-6824-4779-96fc-75d94a1a155d" xsi:nil="true"/>
    <Persona xmlns="38633fc6-6824-4779-96fc-75d94a1a155d">
      <UserInfo>
        <DisplayName/>
        <AccountId xsi:nil="true"/>
        <AccountType/>
      </UserInfo>
    </Persona>
  </documentManagement>
</p:properties>
</file>

<file path=customXml/itemProps1.xml><?xml version="1.0" encoding="utf-8"?>
<ds:datastoreItem xmlns:ds="http://schemas.openxmlformats.org/officeDocument/2006/customXml" ds:itemID="{349DF746-1668-4F39-9541-D15EEE2BE8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129b1-be29-498c-9e07-dbfdb8932fef"/>
    <ds:schemaRef ds:uri="38633fc6-6824-4779-96fc-75d94a1a15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071EEC-D577-423E-9BCC-3C1AEBF726E6}">
  <ds:schemaRefs>
    <ds:schemaRef ds:uri="http://schemas.microsoft.com/sharepoint/v3/contenttype/forms"/>
  </ds:schemaRefs>
</ds:datastoreItem>
</file>

<file path=customXml/itemProps3.xml><?xml version="1.0" encoding="utf-8"?>
<ds:datastoreItem xmlns:ds="http://schemas.openxmlformats.org/officeDocument/2006/customXml" ds:itemID="{9ABCDED2-8CC9-4F10-82D6-5C6570580221}">
  <ds:schemaRefs>
    <ds:schemaRef ds:uri="http://purl.org/dc/terms/"/>
    <ds:schemaRef ds:uri="http://schemas.openxmlformats.org/package/2006/metadata/core-properties"/>
    <ds:schemaRef ds:uri="http://purl.org/dc/elements/1.1/"/>
    <ds:schemaRef ds:uri="38633fc6-6824-4779-96fc-75d94a1a155d"/>
    <ds:schemaRef ds:uri="http://schemas.microsoft.com/office/2006/documentManagement/types"/>
    <ds:schemaRef ds:uri="http://purl.org/dc/dcmitype/"/>
    <ds:schemaRef ds:uri="http://schemas.microsoft.com/office/infopath/2007/PartnerControls"/>
    <ds:schemaRef ds:uri="010129b1-be29-498c-9e07-dbfdb8932fe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74</vt:i4>
      </vt:variant>
      <vt:variant>
        <vt:lpstr>Intervals amb nom</vt:lpstr>
      </vt:variant>
      <vt:variant>
        <vt:i4>3</vt:i4>
      </vt:variant>
    </vt:vector>
  </HeadingPairs>
  <TitlesOfParts>
    <vt:vector size="77" baseType="lpstr">
      <vt:lpstr>Índex</vt:lpstr>
      <vt:lpstr>PE1.01_Ind01 </vt:lpstr>
      <vt:lpstr>PE1.01_Ind02</vt:lpstr>
      <vt:lpstr>PE1.01_Ind03 </vt:lpstr>
      <vt:lpstr>PE1.01_Ind04 </vt:lpstr>
      <vt:lpstr>PE1.02_Ind01</vt:lpstr>
      <vt:lpstr>PE1.02_Ind02</vt:lpstr>
      <vt:lpstr>PE1.02_Ind03</vt:lpstr>
      <vt:lpstr>PE1.03_Ind01</vt:lpstr>
      <vt:lpstr>PE1.03_Ind02</vt:lpstr>
      <vt:lpstr>PE1.03_Ind03</vt:lpstr>
      <vt:lpstr>PE1.03_Ind04 </vt:lpstr>
      <vt:lpstr>PE1.03_Ind05</vt:lpstr>
      <vt:lpstr>PE1.03_Ind06</vt:lpstr>
      <vt:lpstr>PE1.03_Ind07</vt:lpstr>
      <vt:lpstr>PC2.01_Ind01</vt:lpstr>
      <vt:lpstr>PC2.01_Ind02</vt:lpstr>
      <vt:lpstr>PC2.01_Ind03</vt:lpstr>
      <vt:lpstr>PC2.01_Ind04</vt:lpstr>
      <vt:lpstr>PC2.01_Ind05</vt:lpstr>
      <vt:lpstr>PC2.02_Ind01</vt:lpstr>
      <vt:lpstr>PC2.03_Ind01</vt:lpstr>
      <vt:lpstr>PC2.03_Ind02</vt:lpstr>
      <vt:lpstr>PC2.04_Ind01</vt:lpstr>
      <vt:lpstr>PC2.04_Ind02</vt:lpstr>
      <vt:lpstr>PC2.04_Ind03</vt:lpstr>
      <vt:lpstr>PC2.04_Ind4</vt:lpstr>
      <vt:lpstr>PC2.05_Ind01</vt:lpstr>
      <vt:lpstr>PC3.01_Ind01</vt:lpstr>
      <vt:lpstr>PC3.01_Ind02.</vt:lpstr>
      <vt:lpstr>PC3.01_Ind03</vt:lpstr>
      <vt:lpstr>PC3.01_Ind04 </vt:lpstr>
      <vt:lpstr>PC3.02_Ind01</vt:lpstr>
      <vt:lpstr>PC3.03_Ind01</vt:lpstr>
      <vt:lpstr>PC3.03_Ind02</vt:lpstr>
      <vt:lpstr>PC3.03_Ind03</vt:lpstr>
      <vt:lpstr>PC3.03_Ind04-V1</vt:lpstr>
      <vt:lpstr>PC3.03_Ind05-V1</vt:lpstr>
      <vt:lpstr>PC3.04_Ind01</vt:lpstr>
      <vt:lpstr>PC3.04_Ind02 </vt:lpstr>
      <vt:lpstr>PC3.04_Ind03</vt:lpstr>
      <vt:lpstr>PC3.05_Ind01</vt:lpstr>
      <vt:lpstr>PC3.05_Ind02</vt:lpstr>
      <vt:lpstr>PS4.01_Ind01</vt:lpstr>
      <vt:lpstr>PS4.01_Ind02</vt:lpstr>
      <vt:lpstr>PS4.02_Ind01</vt:lpstr>
      <vt:lpstr>PS4.02_Ind02</vt:lpstr>
      <vt:lpstr>PS4.02_Ind03</vt:lpstr>
      <vt:lpstr>PS4.02_Ind04</vt:lpstr>
      <vt:lpstr>PS4.02_Ind05</vt:lpstr>
      <vt:lpstr>PS4.02_Ind06</vt:lpstr>
      <vt:lpstr>PS4.03_Ind01</vt:lpstr>
      <vt:lpstr>PS4.03_Ind02</vt:lpstr>
      <vt:lpstr>PS4.03_Ind03</vt:lpstr>
      <vt:lpstr>PS4.03_Ind04</vt:lpstr>
      <vt:lpstr>PS4.03_Ind05</vt:lpstr>
      <vt:lpstr>PS4.03_Ind06</vt:lpstr>
      <vt:lpstr>PS4.04_Ind01</vt:lpstr>
      <vt:lpstr>PS4.04_Ind02</vt:lpstr>
      <vt:lpstr>PS4.04_Ind03.</vt:lpstr>
      <vt:lpstr>PS4.05_Ind01</vt:lpstr>
      <vt:lpstr>PS4.05_Ind02</vt:lpstr>
      <vt:lpstr>PS5.03_Ind01</vt:lpstr>
      <vt:lpstr>PS5.03_Ind02</vt:lpstr>
      <vt:lpstr>PS5.03_Ind03</vt:lpstr>
      <vt:lpstr>PS5.03_Ind04</vt:lpstr>
      <vt:lpstr>PS5.04_Ind01</vt:lpstr>
      <vt:lpstr>PS5.04_Ind02</vt:lpstr>
      <vt:lpstr>PS5.04_Ind03</vt:lpstr>
      <vt:lpstr>PS5.04_Ind04</vt:lpstr>
      <vt:lpstr>PS5.05_Ind01</vt:lpstr>
      <vt:lpstr>PS5.05_Ind02</vt:lpstr>
      <vt:lpstr>PS5.05_Ind03 </vt:lpstr>
      <vt:lpstr>PS5.06_Ind01   </vt:lpstr>
      <vt:lpstr>index</vt:lpstr>
      <vt:lpstr>indicadors</vt:lpstr>
      <vt:lpstr>Indivadors2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Genis Pallares Llop</dc:creator>
  <cp:lastModifiedBy>Mar Jorba Escribano</cp:lastModifiedBy>
  <cp:lastPrinted>2024-12-12T11:48:56Z</cp:lastPrinted>
  <dcterms:created xsi:type="dcterms:W3CDTF">2024-11-14T09:30:23Z</dcterms:created>
  <dcterms:modified xsi:type="dcterms:W3CDTF">2025-06-06T06:52:31Z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0x0101004CE531AB52E0FB40A6634DAC2D5B373D</vt:lpwstr>
  </property>
  <property fmtid="{D5CDD505-2E9C-101B-9397-08002B2CF9AE}" pid="3" name="MediaServiceImageTags">
    <vt:lpwstr/>
  </property>
</Properties>
</file>